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EntitiesandGroups/PSAAP/Fees and Co-pay/2025 Fees Review/Fees Review Guidance and Templates/"/>
    </mc:Choice>
  </mc:AlternateContent>
  <xr:revisionPtr revIDLastSave="995" documentId="8_{F03D646D-CDA8-4228-A5F1-0275449AE98D}" xr6:coauthVersionLast="47" xr6:coauthVersionMax="47" xr10:uidLastSave="{DE711372-59DE-4F63-B9B9-83B9A082A3AC}"/>
  <bookViews>
    <workbookView xWindow="-28920" yWindow="-120" windowWidth="29040" windowHeight="15720" tabRatio="428" xr2:uid="{00000000-000D-0000-FFFF-FFFF00000000}"/>
  </bookViews>
  <sheets>
    <sheet name="Revenue Split" sheetId="4" r:id="rId1"/>
    <sheet name="Annual Statement Summary" sheetId="3" r:id="rId2"/>
    <sheet name="Co-payment Template" sheetId="5" r:id="rId3"/>
    <sheet name="Parameters" sheetId="8" state="hidden" r:id="rId4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PracticeType">'Revenue Split'!$I$3</definedName>
    <definedName name="PreviousGSTRate">'Co-payment Template'!$F$8</definedName>
    <definedName name="_xlnm.Print_Area" localSheetId="1">'Annual Statement Summary'!$A$1:$H$60</definedName>
    <definedName name="_xlnm.Print_Area" localSheetId="2">'Co-payment Template'!$B$2:$Y$36</definedName>
    <definedName name="_xlnm.Print_Area" localSheetId="0">'Revenue Split'!$A$3:$K$41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 a="1"/>
  <c r="E34" i="3" s="1"/>
  <c r="L19" i="5"/>
  <c r="F13" i="5"/>
  <c r="H15" i="4"/>
  <c r="I27" i="5" l="1"/>
  <c r="I25" i="5"/>
  <c r="I23" i="5"/>
  <c r="I21" i="5"/>
  <c r="I19" i="5"/>
  <c r="E29" i="4" l="1"/>
  <c r="E27" i="4"/>
  <c r="E25" i="4"/>
  <c r="E23" i="4"/>
  <c r="E21" i="4"/>
  <c r="E19" i="4"/>
  <c r="E17" i="4"/>
  <c r="D29" i="4" l="1"/>
  <c r="D27" i="4"/>
  <c r="D25" i="4"/>
  <c r="D23" i="4"/>
  <c r="D21" i="4"/>
  <c r="D19" i="4"/>
  <c r="D17" i="4"/>
  <c r="G17" i="4" l="1"/>
  <c r="G19" i="4" l="1"/>
  <c r="L15" i="5"/>
  <c r="P15" i="5"/>
  <c r="I15" i="5"/>
  <c r="O15" i="5" s="1"/>
  <c r="Q15" i="5" s="1"/>
  <c r="F15" i="5"/>
  <c r="G15" i="5" s="1"/>
  <c r="E15" i="5"/>
  <c r="D15" i="5"/>
  <c r="I17" i="4"/>
  <c r="F27" i="5"/>
  <c r="G27" i="5" s="1"/>
  <c r="F25" i="5"/>
  <c r="G25" i="5" s="1"/>
  <c r="F23" i="5"/>
  <c r="G23" i="5" s="1"/>
  <c r="F21" i="5"/>
  <c r="G21" i="5" s="1"/>
  <c r="F19" i="5"/>
  <c r="G19" i="5" s="1"/>
  <c r="F17" i="5"/>
  <c r="G17" i="5" s="1"/>
  <c r="I29" i="4"/>
  <c r="J29" i="4" s="1"/>
  <c r="I27" i="4"/>
  <c r="J27" i="4" s="1"/>
  <c r="I25" i="4"/>
  <c r="J25" i="4" s="1"/>
  <c r="I23" i="4"/>
  <c r="I21" i="4"/>
  <c r="J21" i="4" s="1"/>
  <c r="I19" i="4"/>
  <c r="J19" i="4" s="1"/>
  <c r="S13" i="5"/>
  <c r="G10" i="3"/>
  <c r="G29" i="4"/>
  <c r="G27" i="4"/>
  <c r="G25" i="4"/>
  <c r="G23" i="4"/>
  <c r="G21" i="4"/>
  <c r="U33" i="5"/>
  <c r="I17" i="5"/>
  <c r="O17" i="5" s="1"/>
  <c r="D17" i="5"/>
  <c r="E17" i="5"/>
  <c r="O19" i="5"/>
  <c r="D19" i="5"/>
  <c r="E19" i="5"/>
  <c r="O21" i="5"/>
  <c r="D21" i="5"/>
  <c r="E21" i="5"/>
  <c r="O23" i="5"/>
  <c r="D23" i="5"/>
  <c r="E23" i="5"/>
  <c r="O25" i="5"/>
  <c r="D25" i="5"/>
  <c r="E25" i="5"/>
  <c r="O27" i="5"/>
  <c r="D27" i="5"/>
  <c r="E27" i="5"/>
  <c r="L17" i="5"/>
  <c r="P17" i="5" s="1"/>
  <c r="L21" i="5"/>
  <c r="P21" i="5" s="1"/>
  <c r="L23" i="5"/>
  <c r="P23" i="5" s="1"/>
  <c r="L25" i="5"/>
  <c r="P25" i="5" s="1"/>
  <c r="L27" i="5"/>
  <c r="P27" i="5" s="1"/>
  <c r="Q25" i="5" l="1"/>
  <c r="K29" i="4"/>
  <c r="K23" i="4"/>
  <c r="Q17" i="5"/>
  <c r="Q27" i="5"/>
  <c r="Q23" i="5"/>
  <c r="Q21" i="5"/>
  <c r="S15" i="5"/>
  <c r="T15" i="5" s="1"/>
  <c r="X15" i="5" s="1"/>
  <c r="J17" i="4"/>
  <c r="F17" i="4"/>
  <c r="S23" i="5"/>
  <c r="T23" i="5" s="1"/>
  <c r="U23" i="5" s="1"/>
  <c r="S25" i="5"/>
  <c r="T25" i="5" s="1"/>
  <c r="X25" i="5" s="1"/>
  <c r="F27" i="4"/>
  <c r="S21" i="5"/>
  <c r="T21" i="5" s="1"/>
  <c r="X21" i="5" s="1"/>
  <c r="S19" i="5"/>
  <c r="T19" i="5" s="1"/>
  <c r="X19" i="5" s="1"/>
  <c r="F19" i="4"/>
  <c r="K27" i="4"/>
  <c r="F29" i="4"/>
  <c r="W23" i="5"/>
  <c r="F23" i="4"/>
  <c r="F21" i="4"/>
  <c r="K19" i="4"/>
  <c r="W25" i="5"/>
  <c r="W27" i="5"/>
  <c r="W19" i="5"/>
  <c r="W21" i="5"/>
  <c r="W17" i="5"/>
  <c r="K25" i="4"/>
  <c r="J23" i="4"/>
  <c r="K17" i="4"/>
  <c r="F25" i="4"/>
  <c r="K21" i="4"/>
  <c r="W15" i="5"/>
  <c r="S27" i="5"/>
  <c r="T27" i="5" s="1"/>
  <c r="X27" i="5" s="1"/>
  <c r="P19" i="5"/>
  <c r="Q19" i="5" s="1"/>
  <c r="S17" i="5"/>
  <c r="U15" i="5" l="1"/>
  <c r="I28" i="5"/>
  <c r="U19" i="5"/>
  <c r="U27" i="5"/>
  <c r="U25" i="5"/>
  <c r="X23" i="5"/>
  <c r="U21" i="5"/>
  <c r="S14" i="5"/>
  <c r="J31" i="4"/>
  <c r="K31" i="4"/>
  <c r="W30" i="5"/>
  <c r="S28" i="5"/>
  <c r="T17" i="5"/>
  <c r="S16" i="5"/>
  <c r="X17" i="5" l="1"/>
  <c r="U17" i="5"/>
  <c r="X30" i="5"/>
  <c r="Y30" i="5" s="1"/>
  <c r="I31" i="4"/>
  <c r="D10" i="3" s="1"/>
  <c r="I32" i="4"/>
  <c r="W31" i="5"/>
  <c r="X31" i="5"/>
  <c r="W32" i="5" l="1"/>
  <c r="E10" i="3"/>
  <c r="F22" i="3" s="1"/>
  <c r="E45" i="3" s="1"/>
  <c r="Y31" i="5"/>
  <c r="F34" i="3" l="1"/>
  <c r="E57" i="3" s="1"/>
  <c r="E60" i="3" s="1"/>
  <c r="F27" i="3"/>
  <c r="E50" i="3" s="1"/>
  <c r="F29" i="3"/>
  <c r="E52" i="3" s="1"/>
  <c r="F26" i="3"/>
  <c r="E49" i="3" s="1"/>
  <c r="F20" i="3"/>
  <c r="E43" i="3" s="1"/>
  <c r="F30" i="3"/>
  <c r="E53" i="3" s="1"/>
  <c r="F21" i="3"/>
  <c r="E44" i="3" s="1"/>
  <c r="F28" i="3"/>
  <c r="E51" i="3" s="1"/>
  <c r="F33" i="3"/>
  <c r="E56" i="3" s="1"/>
  <c r="F31" i="3"/>
  <c r="E54" i="3" s="1"/>
  <c r="F32" i="3"/>
  <c r="E55" i="3" s="1"/>
  <c r="F24" i="3"/>
  <c r="E47" i="3" s="1"/>
  <c r="F19" i="3"/>
  <c r="E42" i="3" s="1"/>
  <c r="F17" i="3"/>
  <c r="E40" i="3" s="1"/>
  <c r="F25" i="3"/>
  <c r="E48" i="3" s="1"/>
  <c r="F18" i="3"/>
  <c r="E41" i="3" s="1"/>
  <c r="F23" i="3"/>
  <c r="E46" i="3" s="1"/>
  <c r="W33" i="5" l="1"/>
  <c r="I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Noresten</author>
  </authors>
  <commentList>
    <comment ref="C3" authorId="0" shapeId="0" xr:uid="{7F2EAC23-1ABD-4383-AE43-57F5F0D16266}">
      <text>
        <r>
          <rPr>
            <b/>
            <sz val="9"/>
            <color indexed="81"/>
            <rFont val="Tahoma"/>
            <family val="2"/>
          </rPr>
          <t>Leanne Rahman: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2021-22.xlsx'</t>
        </r>
      </text>
    </comment>
    <comment ref="C12" authorId="0" shapeId="0" xr:uid="{53AB2C2D-8D15-4818-B775-333976FD35AD}">
      <text>
        <r>
          <rPr>
            <b/>
            <sz val="9"/>
            <color indexed="81"/>
            <rFont val="Tahoma"/>
            <family val="2"/>
          </rPr>
          <t>Leanne Rahman: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2021-22.xlsx'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<sst xmlns="http://schemas.openxmlformats.org/spreadsheetml/2006/main" count="162" uniqueCount="121">
  <si>
    <t>Co-payment adjustment template - Option A</t>
  </si>
  <si>
    <t>Practice Name or Identifier</t>
  </si>
  <si>
    <t>Co-payment/capitation revenue split calculation</t>
  </si>
  <si>
    <t>Hide J</t>
  </si>
  <si>
    <t>Hide K</t>
  </si>
  <si>
    <t>Practice to enter values shown in red only:</t>
  </si>
  <si>
    <t>Practice Name / Identifier</t>
  </si>
  <si>
    <t>Practice Type</t>
  </si>
  <si>
    <t>Please note that Option A is used to approximate co-payment capitation revenue.</t>
  </si>
  <si>
    <t>Current patient numbers</t>
  </si>
  <si>
    <r>
      <t xml:space="preserve">It is </t>
    </r>
    <r>
      <rPr>
        <b/>
        <u/>
        <sz val="12"/>
        <color indexed="52"/>
        <rFont val="Arial"/>
        <family val="2"/>
      </rPr>
      <t>strongly recommended</t>
    </r>
    <r>
      <rPr>
        <sz val="12"/>
        <color indexed="52"/>
        <rFont val="Arial"/>
        <family val="2"/>
      </rPr>
      <t xml:space="preserve"> that the </t>
    </r>
    <r>
      <rPr>
        <b/>
        <u/>
        <sz val="12"/>
        <color indexed="52"/>
        <rFont val="Arial"/>
        <family val="2"/>
      </rPr>
      <t>Option B template is used</t>
    </r>
  </si>
  <si>
    <t>Current fee (co-payment) by age group</t>
  </si>
  <si>
    <t>Age group</t>
  </si>
  <si>
    <t>Number of patients in this category</t>
  </si>
  <si>
    <t>Av utilisation rates*</t>
  </si>
  <si>
    <t>Full non-subsidised fee*** (Excluding GST)</t>
  </si>
  <si>
    <t>Government capitation subsidy **** (Excl GST)</t>
  </si>
  <si>
    <t>Annual co-payment revenue (excl GST)</t>
  </si>
  <si>
    <t>Annual total revenue (excl GST)</t>
  </si>
  <si>
    <t>Under 6 years</t>
  </si>
  <si>
    <t>6 to 13 years</t>
  </si>
  <si>
    <t>14 to 17 years</t>
  </si>
  <si>
    <t>18 to 24 years</t>
  </si>
  <si>
    <t>25 to 44 years</t>
  </si>
  <si>
    <t>45 to 64 years</t>
  </si>
  <si>
    <t>65 years +</t>
  </si>
  <si>
    <t>Subsidy share of revenue (annual)</t>
  </si>
  <si>
    <t>Access</t>
  </si>
  <si>
    <t>Co-payment share of revenue (annual)</t>
  </si>
  <si>
    <t>Interim</t>
  </si>
  <si>
    <t>NOTES</t>
  </si>
  <si>
    <t>*** Derived from Government capitation subsidy plus current fee (co-payment); the latter is an input field for the practice.</t>
  </si>
  <si>
    <t>**** Derived from the Government Capitation rate divided by the average utilisation rate.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</si>
  <si>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</si>
  <si>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</si>
  <si>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</si>
  <si>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</si>
  <si>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</si>
  <si>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</si>
  <si>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</si>
  <si>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</si>
  <si>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</si>
  <si>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</si>
  <si>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</si>
  <si>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</si>
  <si>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</si>
  <si>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</si>
  <si>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</si>
  <si>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</si>
  <si>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</si>
  <si>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</si>
  <si>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</si>
  <si>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</si>
  <si>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</si>
  <si>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</si>
  <si>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</si>
  <si>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</si>
  <si>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</si>
  <si>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</si>
  <si>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</si>
  <si>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r>
      <t xml:space="preserve">The values in red are the </t>
    </r>
    <r>
      <rPr>
        <b/>
        <sz val="12"/>
        <color indexed="8"/>
        <rFont val="Arial"/>
        <family val="2"/>
      </rPr>
      <t xml:space="preserve">annual statement </t>
    </r>
    <r>
      <rPr>
        <b/>
        <sz val="12"/>
        <color indexed="10"/>
        <rFont val="Arial"/>
        <family val="2"/>
      </rPr>
      <t>figures for the co-payment adjustment. They feed automatically through to the next sheet ('co-payment template')</t>
    </r>
  </si>
  <si>
    <t>Set to current year &gt;</t>
  </si>
  <si>
    <t>Current Year</t>
  </si>
  <si>
    <t>Co-payment adjustment for current year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</si>
  <si>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</si>
  <si>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</si>
  <si>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</si>
  <si>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</si>
  <si>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14 year age group do not count towards total co-payment adjustment</t>
  </si>
  <si>
    <t xml:space="preserve">Rate of GST applying to new copayments = </t>
  </si>
  <si>
    <t>Av Utilisation rates</t>
  </si>
  <si>
    <t>Co-payment change ($) (incl GST)</t>
  </si>
  <si>
    <t>Co-payment change (%) (incl GST)</t>
  </si>
  <si>
    <t>Proposed co-payment fee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</si>
  <si>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</si>
  <si>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</si>
  <si>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</si>
  <si>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</si>
  <si>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</si>
  <si>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 GST)</t>
  </si>
  <si>
    <t>% change in annual co-payment revenue</t>
  </si>
  <si>
    <t>Co-payment annual statement</t>
  </si>
  <si>
    <t xml:space="preserve">      RESULT OF CHANGES:</t>
  </si>
  <si>
    <t>Utilisation Rates</t>
  </si>
  <si>
    <t>Age Band</t>
  </si>
  <si>
    <t>Av GP visits</t>
  </si>
  <si>
    <t>0 to 5</t>
  </si>
  <si>
    <t>6 to 13</t>
  </si>
  <si>
    <t>14 to 17</t>
  </si>
  <si>
    <t>18 to 24</t>
  </si>
  <si>
    <t>25 to 44</t>
  </si>
  <si>
    <t>45 to 64</t>
  </si>
  <si>
    <t>65+</t>
  </si>
  <si>
    <t>Capitation Rate</t>
  </si>
  <si>
    <t>Capitation</t>
  </si>
  <si>
    <t>2025/26</t>
  </si>
  <si>
    <t>age_group5</t>
  </si>
  <si>
    <t>GPQED per enrolment</t>
  </si>
  <si>
    <t>$ Adjusted FC (Non-Access)</t>
  </si>
  <si>
    <t>00-05</t>
  </si>
  <si>
    <t>2.8681228879651957</t>
  </si>
  <si>
    <t>1.598840695421608</t>
  </si>
  <si>
    <t>14-17</t>
  </si>
  <si>
    <t>1.5816458570429635</t>
  </si>
  <si>
    <t>18-24</t>
  </si>
  <si>
    <t>2.0972312100117776</t>
  </si>
  <si>
    <t>25-44</t>
  </si>
  <si>
    <t>2.4154392608709925</t>
  </si>
  <si>
    <t>45-64</t>
  </si>
  <si>
    <t>3.481366884666201</t>
  </si>
  <si>
    <t>5.565207542156642</t>
  </si>
  <si>
    <t>06-13</t>
  </si>
  <si>
    <t>Capitation Rate (25/26)** (Excluding GST)</t>
  </si>
  <si>
    <t>30th June 2025 fee (co-payment) (Excluding GST)</t>
  </si>
  <si>
    <t>Rate of GST applying on 30th June 2025 =</t>
  </si>
  <si>
    <t>30th June 2025 fee (co-payment) (excl GST)</t>
  </si>
  <si>
    <t>*  Average utlisation rates are based on Primary Care data on average General Practitioner visits per person in the perion March 2024 to February 2025.</t>
  </si>
  <si>
    <t>** Government capitation rate is the average actual payment for each age band.</t>
  </si>
  <si>
    <t>Contingent practice: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</si>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</sst>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164" formatCode="&quot;$&quot;#,##0.00"/>
    <numFmt numFmtId="165" formatCode="0.0%"/>
    <numFmt numFmtId="166" formatCode="[$$-1409]#,##0.00"/>
    <numFmt numFmtId="167" formatCode="[$$-1409]#,##0"/>
    <numFmt numFmtId="168" formatCode="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2"/>
      <color indexed="53"/>
      <name val="Arial"/>
      <family val="2"/>
    </font>
    <font>
      <sz val="10"/>
      <color indexed="12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61"/>
      <name val="Arial"/>
      <family val="2"/>
    </font>
    <font>
      <sz val="8"/>
      <color indexed="22"/>
      <name val="Arial"/>
      <family val="2"/>
    </font>
    <font>
      <b/>
      <sz val="11"/>
      <color indexed="10"/>
      <name val="Arial"/>
      <family val="2"/>
    </font>
    <font>
      <b/>
      <sz val="16"/>
      <color indexed="51"/>
      <name val="Arial"/>
      <family val="2"/>
    </font>
    <font>
      <b/>
      <u/>
      <sz val="12"/>
      <color indexed="5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2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61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1" fillId="9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0" fillId="3" borderId="0" xfId="0" applyFont="1" applyFill="1"/>
    <xf numFmtId="0" fontId="8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167" fontId="13" fillId="5" borderId="0" xfId="0" applyNumberFormat="1" applyFont="1" applyFill="1" applyAlignment="1">
      <alignment horizontal="center"/>
    </xf>
    <xf numFmtId="0" fontId="16" fillId="5" borderId="0" xfId="0" applyFont="1" applyFill="1"/>
    <xf numFmtId="166" fontId="0" fillId="5" borderId="0" xfId="0" applyNumberFormat="1" applyFill="1" applyAlignment="1">
      <alignment horizontal="center" vertical="center"/>
    </xf>
    <xf numFmtId="166" fontId="16" fillId="5" borderId="0" xfId="0" applyNumberFormat="1" applyFont="1" applyFill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0" fontId="3" fillId="4" borderId="0" xfId="0" applyFont="1" applyFill="1"/>
    <xf numFmtId="0" fontId="0" fillId="4" borderId="0" xfId="0" applyFill="1"/>
    <xf numFmtId="0" fontId="19" fillId="6" borderId="0" xfId="0" applyFont="1" applyFill="1"/>
    <xf numFmtId="0" fontId="20" fillId="6" borderId="0" xfId="0" applyFont="1" applyFill="1"/>
    <xf numFmtId="0" fontId="10" fillId="6" borderId="0" xfId="0" applyFont="1" applyFill="1"/>
    <xf numFmtId="0" fontId="21" fillId="6" borderId="0" xfId="0" applyFont="1" applyFill="1"/>
    <xf numFmtId="0" fontId="8" fillId="5" borderId="4" xfId="0" applyFont="1" applyFill="1" applyBorder="1" applyAlignment="1">
      <alignment horizontal="center"/>
    </xf>
    <xf numFmtId="9" fontId="6" fillId="2" borderId="6" xfId="2" applyFont="1" applyFill="1" applyBorder="1" applyAlignment="1">
      <alignment horizontal="center"/>
    </xf>
    <xf numFmtId="9" fontId="6" fillId="2" borderId="7" xfId="2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2" fillId="6" borderId="0" xfId="0" applyFont="1" applyFill="1"/>
    <xf numFmtId="0" fontId="23" fillId="6" borderId="0" xfId="0" applyFont="1" applyFill="1"/>
    <xf numFmtId="166" fontId="7" fillId="4" borderId="5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27" fillId="4" borderId="7" xfId="0" applyFont="1" applyFill="1" applyBorder="1" applyAlignment="1">
      <alignment horizontal="center" vertical="center"/>
    </xf>
    <xf numFmtId="166" fontId="27" fillId="4" borderId="3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66" fontId="28" fillId="3" borderId="2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/>
    </xf>
    <xf numFmtId="0" fontId="31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166" fontId="13" fillId="4" borderId="5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66" fontId="27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left"/>
    </xf>
    <xf numFmtId="0" fontId="33" fillId="5" borderId="0" xfId="0" applyFont="1" applyFill="1" applyAlignment="1">
      <alignment horizontal="center"/>
    </xf>
    <xf numFmtId="165" fontId="2" fillId="5" borderId="0" xfId="2" applyNumberFormat="1" applyFill="1" applyBorder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0" fontId="10" fillId="2" borderId="3" xfId="0" applyNumberFormat="1" applyFont="1" applyFill="1" applyBorder="1" applyAlignment="1">
      <alignment horizontal="center"/>
    </xf>
    <xf numFmtId="0" fontId="35" fillId="2" borderId="0" xfId="0" applyFont="1" applyFill="1"/>
    <xf numFmtId="0" fontId="6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166" fontId="28" fillId="3" borderId="0" xfId="0" applyNumberFormat="1" applyFont="1" applyFill="1" applyAlignment="1">
      <alignment horizontal="center" vertical="center"/>
    </xf>
    <xf numFmtId="0" fontId="36" fillId="6" borderId="0" xfId="0" applyFont="1" applyFill="1"/>
    <xf numFmtId="165" fontId="31" fillId="3" borderId="0" xfId="0" applyNumberFormat="1" applyFont="1" applyFill="1" applyAlignment="1">
      <alignment horizontal="center" vertical="center"/>
    </xf>
    <xf numFmtId="165" fontId="20" fillId="6" borderId="0" xfId="0" applyNumberFormat="1" applyFont="1" applyFill="1" applyAlignment="1">
      <alignment horizontal="left"/>
    </xf>
    <xf numFmtId="166" fontId="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2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52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52" fillId="0" borderId="0" xfId="0" applyNumberFormat="1" applyFont="1" applyAlignment="1">
      <alignment horizontal="center"/>
    </xf>
    <xf numFmtId="0" fontId="52" fillId="0" borderId="0" xfId="0" applyFont="1"/>
    <xf numFmtId="0" fontId="7" fillId="1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53" fillId="2" borderId="0" xfId="0" applyFont="1" applyFill="1"/>
    <xf numFmtId="0" fontId="38" fillId="0" borderId="0" xfId="0" applyFont="1"/>
    <xf numFmtId="0" fontId="38" fillId="2" borderId="0" xfId="0" applyFont="1" applyFill="1"/>
    <xf numFmtId="2" fontId="27" fillId="4" borderId="7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10" fontId="13" fillId="4" borderId="8" xfId="2" applyNumberFormat="1" applyFont="1" applyFill="1" applyBorder="1" applyAlignment="1" applyProtection="1">
      <alignment horizontal="center" vertical="center"/>
    </xf>
    <xf numFmtId="10" fontId="13" fillId="4" borderId="8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 wrapText="1"/>
    </xf>
    <xf numFmtId="0" fontId="39" fillId="5" borderId="0" xfId="0" applyFont="1" applyFill="1" applyAlignment="1">
      <alignment horizontal="left" vertical="top" wrapText="1"/>
    </xf>
    <xf numFmtId="0" fontId="38" fillId="2" borderId="0" xfId="0" applyFont="1" applyFill="1" applyAlignment="1">
      <alignment horizontal="left" vertical="top"/>
    </xf>
    <xf numFmtId="0" fontId="38" fillId="5" borderId="0" xfId="0" applyFont="1" applyFill="1" applyAlignment="1">
      <alignment horizontal="left" vertical="top"/>
    </xf>
    <xf numFmtId="0" fontId="40" fillId="5" borderId="0" xfId="0" applyFont="1" applyFill="1" applyAlignment="1">
      <alignment horizontal="left" vertical="top"/>
    </xf>
    <xf numFmtId="167" fontId="41" fillId="11" borderId="0" xfId="0" applyNumberFormat="1" applyFont="1" applyFill="1" applyAlignment="1">
      <alignment horizontal="left" vertical="top"/>
    </xf>
    <xf numFmtId="0" fontId="38" fillId="2" borderId="0" xfId="0" applyFont="1" applyFill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38" fillId="11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166" fontId="0" fillId="3" borderId="2" xfId="0" applyNumberFormat="1" applyFill="1" applyBorder="1" applyAlignment="1">
      <alignment horizontal="left" vertical="top"/>
    </xf>
    <xf numFmtId="166" fontId="0" fillId="3" borderId="0" xfId="0" applyNumberFormat="1" applyFill="1" applyAlignment="1">
      <alignment horizontal="left" vertical="top"/>
    </xf>
    <xf numFmtId="166" fontId="5" fillId="3" borderId="2" xfId="0" applyNumberFormat="1" applyFont="1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32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166" fontId="35" fillId="3" borderId="0" xfId="0" applyNumberFormat="1" applyFont="1" applyFill="1" applyAlignment="1">
      <alignment horizontal="left" vertical="center"/>
    </xf>
    <xf numFmtId="0" fontId="43" fillId="5" borderId="0" xfId="0" applyFont="1" applyFill="1" applyAlignment="1">
      <alignment horizontal="left"/>
    </xf>
    <xf numFmtId="0" fontId="38" fillId="3" borderId="0" xfId="0" applyFont="1" applyFill="1"/>
    <xf numFmtId="166" fontId="38" fillId="3" borderId="0" xfId="0" applyNumberFormat="1" applyFont="1" applyFill="1" applyAlignment="1">
      <alignment horizontal="center" vertical="center"/>
    </xf>
    <xf numFmtId="0" fontId="38" fillId="5" borderId="0" xfId="0" applyFont="1" applyFill="1"/>
    <xf numFmtId="0" fontId="43" fillId="5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10" fontId="41" fillId="3" borderId="0" xfId="0" applyNumberFormat="1" applyFont="1" applyFill="1" applyAlignment="1">
      <alignment horizontal="center" vertical="center"/>
    </xf>
    <xf numFmtId="10" fontId="35" fillId="3" borderId="0" xfId="2" applyNumberFormat="1" applyFont="1" applyFill="1" applyBorder="1" applyAlignment="1">
      <alignment horizontal="center" vertical="center"/>
    </xf>
    <xf numFmtId="0" fontId="38" fillId="5" borderId="0" xfId="0" applyFont="1" applyFill="1" applyAlignment="1">
      <alignment wrapText="1"/>
    </xf>
    <xf numFmtId="0" fontId="38" fillId="11" borderId="0" xfId="0" applyFont="1" applyFill="1"/>
    <xf numFmtId="0" fontId="38" fillId="2" borderId="0" xfId="0" applyFont="1" applyFill="1" applyAlignment="1">
      <alignment wrapText="1"/>
    </xf>
    <xf numFmtId="0" fontId="40" fillId="5" borderId="0" xfId="0" applyFont="1" applyFill="1"/>
    <xf numFmtId="0" fontId="3" fillId="5" borderId="0" xfId="0" applyFont="1" applyFill="1" applyAlignment="1">
      <alignment horizontal="center" vertical="center"/>
    </xf>
    <xf numFmtId="166" fontId="54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left" vertical="top"/>
    </xf>
    <xf numFmtId="0" fontId="45" fillId="2" borderId="0" xfId="0" applyFont="1" applyFill="1"/>
    <xf numFmtId="0" fontId="3" fillId="2" borderId="0" xfId="0" applyFont="1" applyFill="1"/>
    <xf numFmtId="0" fontId="3" fillId="0" borderId="0" xfId="0" applyFont="1"/>
    <xf numFmtId="10" fontId="6" fillId="5" borderId="0" xfId="0" applyNumberFormat="1" applyFont="1" applyFill="1" applyAlignment="1">
      <alignment horizontal="center" vertical="top"/>
    </xf>
    <xf numFmtId="166" fontId="6" fillId="4" borderId="3" xfId="0" applyNumberFormat="1" applyFont="1" applyFill="1" applyBorder="1" applyAlignment="1">
      <alignment horizontal="center" vertical="center"/>
    </xf>
    <xf numFmtId="167" fontId="46" fillId="5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10" fontId="10" fillId="3" borderId="0" xfId="2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 applyProtection="1">
      <alignment horizontal="center" vertical="center"/>
      <protection locked="0"/>
    </xf>
    <xf numFmtId="166" fontId="4" fillId="13" borderId="3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>
      <alignment horizontal="center"/>
    </xf>
    <xf numFmtId="2" fontId="47" fillId="0" borderId="3" xfId="0" applyNumberFormat="1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0" fontId="48" fillId="5" borderId="0" xfId="0" applyFont="1" applyFill="1" applyAlignment="1">
      <alignment wrapText="1"/>
    </xf>
    <xf numFmtId="168" fontId="49" fillId="5" borderId="0" xfId="0" applyNumberFormat="1" applyFont="1" applyFill="1" applyAlignment="1">
      <alignment horizontal="center"/>
    </xf>
    <xf numFmtId="168" fontId="50" fillId="5" borderId="0" xfId="0" applyNumberFormat="1" applyFont="1" applyFill="1" applyAlignment="1">
      <alignment horizontal="center" vertical="center"/>
    </xf>
    <xf numFmtId="0" fontId="1" fillId="0" borderId="0" xfId="3"/>
    <xf numFmtId="0" fontId="7" fillId="0" borderId="0" xfId="0" applyFont="1"/>
    <xf numFmtId="0" fontId="2" fillId="0" borderId="0" xfId="0" applyFont="1"/>
    <xf numFmtId="0" fontId="58" fillId="0" borderId="0" xfId="3" applyFont="1"/>
    <xf numFmtId="0" fontId="2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9" fontId="26" fillId="0" borderId="0" xfId="0" applyNumberFormat="1" applyFont="1"/>
    <xf numFmtId="9" fontId="26" fillId="2" borderId="0" xfId="0" applyNumberFormat="1" applyFont="1" applyFill="1"/>
    <xf numFmtId="165" fontId="9" fillId="6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center" vertical="center"/>
    </xf>
    <xf numFmtId="165" fontId="32" fillId="5" borderId="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10" fontId="3" fillId="2" borderId="9" xfId="0" applyNumberFormat="1" applyFont="1" applyFill="1" applyBorder="1" applyAlignment="1">
      <alignment horizontal="center"/>
    </xf>
    <xf numFmtId="10" fontId="10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0" fontId="10" fillId="2" borderId="13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0" fontId="3" fillId="2" borderId="2" xfId="0" applyNumberFormat="1" applyFont="1" applyFill="1" applyBorder="1" applyAlignment="1">
      <alignment horizontal="center"/>
    </xf>
    <xf numFmtId="10" fontId="10" fillId="2" borderId="6" xfId="0" applyNumberFormat="1" applyFont="1" applyFill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0" fillId="2" borderId="13" xfId="0" applyFill="1" applyBorder="1"/>
    <xf numFmtId="0" fontId="0" fillId="0" borderId="0" xfId="0" quotePrefix="1"/>
    <xf numFmtId="8" fontId="0" fillId="0" borderId="0" xfId="0" applyNumberFormat="1"/>
    <xf numFmtId="2" fontId="0" fillId="0" borderId="0" xfId="0" quotePrefix="1" applyNumberFormat="1"/>
    <xf numFmtId="49" fontId="0" fillId="0" borderId="0" xfId="0" applyNumberFormat="1"/>
    <xf numFmtId="0" fontId="21" fillId="6" borderId="0" xfId="0" applyFont="1" applyFill="1" applyProtection="1">
      <protection locked="0"/>
    </xf>
    <xf numFmtId="0" fontId="60" fillId="6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11" fillId="7" borderId="0" xfId="0" applyFont="1" applyFill="1" applyAlignment="1">
      <alignment horizontal="center"/>
    </xf>
    <xf numFmtId="0" fontId="9" fillId="5" borderId="0" xfId="0" applyFont="1" applyFill="1" applyAlignment="1">
      <alignment horizontal="left" vertical="top" wrapText="1"/>
    </xf>
    <xf numFmtId="2" fontId="55" fillId="9" borderId="0" xfId="1" applyNumberFormat="1" applyFont="1" applyBorder="1" applyAlignment="1" applyProtection="1">
      <alignment horizontal="center" vertical="center"/>
      <protection locked="0"/>
    </xf>
    <xf numFmtId="0" fontId="59" fillId="1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0" fillId="0" borderId="0" xfId="0"/>
    <xf numFmtId="0" fontId="35" fillId="3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166" fontId="54" fillId="3" borderId="9" xfId="0" applyNumberFormat="1" applyFont="1" applyFill="1" applyBorder="1" applyAlignment="1">
      <alignment horizontal="center" vertical="center" wrapText="1"/>
    </xf>
    <xf numFmtId="166" fontId="54" fillId="3" borderId="0" xfId="0" applyNumberFormat="1" applyFont="1" applyFill="1" applyAlignment="1">
      <alignment horizontal="center" vertical="center" wrapText="1"/>
    </xf>
  </cellXfs>
  <cellStyles count="4">
    <cellStyle name="60% - Accent5" xfId="1" builtinId="48"/>
    <cellStyle name="Normal" xfId="0" builtinId="0"/>
    <cellStyle name="Normal 2" xfId="3" xr:uid="{BD716E0F-5E3F-4BE6-8430-7886800C54C1}"/>
    <cellStyle name="Percent" xfId="2" builtinId="5"/>
  </cellStyles>
  <dxfs count="7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5BC48493-8DCD-4087-8A38-8312552A1F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$J$17" max="2000" page="10" val="1000"/>
</file>

<file path=xl/ctrlProps/ctrlProp14.xml><?xml version="1.0" encoding="utf-8"?>
<formControlPr xmlns="http://schemas.microsoft.com/office/spreadsheetml/2009/9/main" objectType="Spin" dx="15" fmlaLink="$J$19" max="2000" page="10" val="1000"/>
</file>

<file path=xl/ctrlProps/ctrlProp15.xml><?xml version="1.0" encoding="utf-8"?>
<formControlPr xmlns="http://schemas.microsoft.com/office/spreadsheetml/2009/9/main" objectType="Spin" dx="15" fmlaLink="$J$21" max="2000" page="10" val="1000"/>
</file>

<file path=xl/ctrlProps/ctrlProp16.xml><?xml version="1.0" encoding="utf-8"?>
<formControlPr xmlns="http://schemas.microsoft.com/office/spreadsheetml/2009/9/main" objectType="Spin" dx="15" fmlaLink="$J$23" max="2000" page="10" val="1000"/>
</file>

<file path=xl/ctrlProps/ctrlProp17.xml><?xml version="1.0" encoding="utf-8"?>
<formControlPr xmlns="http://schemas.microsoft.com/office/spreadsheetml/2009/9/main" objectType="Spin" dx="15" fmlaLink="$J$25" max="2000" page="10" val="1000"/>
</file>

<file path=xl/ctrlProps/ctrlProp18.xml><?xml version="1.0" encoding="utf-8"?>
<formControlPr xmlns="http://schemas.microsoft.com/office/spreadsheetml/2009/9/main" objectType="Spin" dx="15" fmlaLink="$J$27" max="2000" page="10" val="1000"/>
</file>

<file path=xl/ctrlProps/ctrlProp19.xml><?xml version="1.0" encoding="utf-8"?>
<formControlPr xmlns="http://schemas.microsoft.com/office/spreadsheetml/2009/9/main" objectType="Spin" dx="15" fmlaLink="$M$17" max="2000" page="10" val="1000"/>
</file>

<file path=xl/ctrlProps/ctrlProp20.xml><?xml version="1.0" encoding="utf-8"?>
<formControlPr xmlns="http://schemas.microsoft.com/office/spreadsheetml/2009/9/main" objectType="Spin" dx="15" fmlaLink="$M$23" max="2000" page="10" val="1000"/>
</file>

<file path=xl/ctrlProps/ctrlProp21.xml><?xml version="1.0" encoding="utf-8"?>
<formControlPr xmlns="http://schemas.microsoft.com/office/spreadsheetml/2009/9/main" objectType="Spin" dx="15" fmlaLink="$M$21" max="2000" page="10" val="1000"/>
</file>

<file path=xl/ctrlProps/ctrlProp22.xml><?xml version="1.0" encoding="utf-8"?>
<formControlPr xmlns="http://schemas.microsoft.com/office/spreadsheetml/2009/9/main" objectType="Spin" dx="15" fmlaLink="$M$19" max="2000" page="10" val="1000"/>
</file>

<file path=xl/ctrlProps/ctrlProp23.xml><?xml version="1.0" encoding="utf-8"?>
<formControlPr xmlns="http://schemas.microsoft.com/office/spreadsheetml/2009/9/main" objectType="Spin" dx="15" fmlaLink="$M$25" max="2000" page="10" val="1000"/>
</file>

<file path=xl/ctrlProps/ctrlProp24.xml><?xml version="1.0" encoding="utf-8"?>
<formControlPr xmlns="http://schemas.microsoft.com/office/spreadsheetml/2009/9/main" objectType="Spin" dx="15" fmlaLink="$M$27" max="2000" page="10" val="1000"/>
</file>

<file path=xl/ctrlProps/ctrlProp25.xml><?xml version="1.0" encoding="utf-8"?>
<formControlPr xmlns="http://schemas.microsoft.com/office/spreadsheetml/2009/9/main" objectType="Spin" dx="15" fmlaLink="$J$15" max="2000" page="10" val="1000"/>
</file>

<file path=xl/ctrlProps/ctrlProp26.xml><?xml version="1.0" encoding="utf-8"?>
<formControlPr xmlns="http://schemas.microsoft.com/office/spreadsheetml/2009/9/main" objectType="Spin" dx="15" fmlaLink="$M$15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9525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38100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38100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38100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38100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38100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38100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20</xdr:row>
          <xdr:rowOff>9525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14</xdr:col>
          <xdr:colOff>0</xdr:colOff>
          <xdr:row>25</xdr:row>
          <xdr:rowOff>9525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9525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19" name="Spinner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120" name="Spinner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1"/>
  <sheetViews>
    <sheetView showGridLines="0" tabSelected="1" zoomScale="85" zoomScaleNormal="85" zoomScaleSheetLayoutView="55" workbookViewId="0">
      <selection activeCell="G7" sqref="G7"/>
    </sheetView>
  </sheetViews>
  <sheetFormatPr defaultRowHeight="12.75" x14ac:dyDescent="0.2"/>
  <cols>
    <col min="1" max="1" width="4.140625" customWidth="1"/>
    <col min="2" max="8" width="22.85546875" customWidth="1"/>
    <col min="9" max="9" width="25.140625" customWidth="1"/>
    <col min="10" max="10" width="18.7109375" hidden="1" customWidth="1"/>
    <col min="11" max="11" width="14" hidden="1" customWidth="1"/>
    <col min="12" max="12" width="9.5703125" bestFit="1" customWidth="1"/>
  </cols>
  <sheetData>
    <row r="1" spans="1:36" ht="36" customHeight="1" x14ac:dyDescent="0.2">
      <c r="B1" s="199" t="s">
        <v>0</v>
      </c>
      <c r="C1" s="199"/>
      <c r="D1" s="199"/>
      <c r="E1" s="199"/>
      <c r="F1" s="199"/>
      <c r="G1" s="199"/>
      <c r="H1" s="199"/>
      <c r="I1" s="199"/>
    </row>
    <row r="3" spans="1:36" s="2" customFormat="1" ht="31.7" customHeight="1" x14ac:dyDescent="0.2">
      <c r="A3" s="93"/>
      <c r="B3" s="198" t="s">
        <v>1</v>
      </c>
      <c r="C3" s="198"/>
      <c r="D3" s="198"/>
      <c r="E3" s="198"/>
      <c r="F3" s="198"/>
      <c r="G3" s="198"/>
      <c r="H3" s="198"/>
      <c r="I3" s="198"/>
      <c r="J3" s="75"/>
      <c r="K3" s="75"/>
      <c r="L3" s="75"/>
      <c r="M3" s="75"/>
    </row>
    <row r="4" spans="1:36" ht="13.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6.25" x14ac:dyDescent="0.4">
      <c r="A5" s="2"/>
      <c r="B5" s="196" t="s">
        <v>2</v>
      </c>
      <c r="C5" s="196"/>
      <c r="D5" s="196"/>
      <c r="E5" s="196"/>
      <c r="F5" s="196"/>
      <c r="G5" s="196"/>
      <c r="H5" s="196"/>
      <c r="I5" s="196"/>
      <c r="J5" s="94" t="s">
        <v>3</v>
      </c>
      <c r="K5" s="94" t="s">
        <v>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1" x14ac:dyDescent="0.3">
      <c r="A7" s="2"/>
      <c r="B7" s="81" t="s">
        <v>5</v>
      </c>
      <c r="C7" s="46"/>
      <c r="D7" s="46"/>
      <c r="E7" s="46"/>
      <c r="F7" s="46" t="s">
        <v>118</v>
      </c>
      <c r="G7" s="193" t="s">
        <v>120</v>
      </c>
      <c r="H7" s="45" t="s">
        <v>6</v>
      </c>
      <c r="I7" s="192"/>
      <c r="J7" s="34"/>
      <c r="K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.75" hidden="1" customHeight="1" x14ac:dyDescent="0.3">
      <c r="A8" s="2"/>
      <c r="B8" s="51"/>
      <c r="C8" s="46"/>
      <c r="D8" s="46"/>
      <c r="E8" s="46"/>
      <c r="F8" s="46"/>
      <c r="G8" s="46"/>
      <c r="H8" s="45" t="s">
        <v>7</v>
      </c>
      <c r="I8" s="46"/>
      <c r="J8" s="34"/>
      <c r="K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5">
      <c r="A9" s="2"/>
      <c r="B9" s="46" t="s">
        <v>8</v>
      </c>
      <c r="C9" s="46"/>
      <c r="D9" s="46"/>
      <c r="E9" s="46"/>
      <c r="F9" s="46"/>
      <c r="G9" s="46"/>
      <c r="H9" s="45" t="s">
        <v>9</v>
      </c>
      <c r="I9" s="192"/>
      <c r="J9" s="34"/>
      <c r="K9" s="3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8" customHeight="1" x14ac:dyDescent="0.25">
      <c r="A10" s="2"/>
      <c r="B10" s="46" t="s">
        <v>10</v>
      </c>
      <c r="C10" s="46"/>
      <c r="D10" s="46"/>
      <c r="E10" s="46"/>
      <c r="F10" s="46"/>
      <c r="G10" s="46"/>
      <c r="H10" s="45" t="s">
        <v>11</v>
      </c>
      <c r="I10" s="192"/>
      <c r="J10" s="34"/>
      <c r="K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.2" customHeight="1" x14ac:dyDescent="0.25">
      <c r="A11" s="2"/>
      <c r="B11" s="4"/>
      <c r="C11" s="4"/>
      <c r="D11" s="4"/>
      <c r="E11" s="4"/>
      <c r="F11" s="4"/>
      <c r="G11" s="6"/>
      <c r="H11" s="6"/>
      <c r="I11" s="4"/>
      <c r="J11" s="34"/>
      <c r="K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4.7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34"/>
      <c r="K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0.75" customHeight="1" x14ac:dyDescent="0.2">
      <c r="A13" s="2"/>
      <c r="B13" s="8"/>
      <c r="C13" s="8"/>
      <c r="D13" s="8"/>
      <c r="E13" s="8"/>
      <c r="F13" s="8"/>
      <c r="G13" s="8"/>
      <c r="H13" s="8"/>
      <c r="I13" s="8"/>
      <c r="J13" s="34"/>
      <c r="K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.25" customHeight="1" x14ac:dyDescent="0.2">
      <c r="A14" s="2"/>
      <c r="B14" s="8"/>
      <c r="C14" s="8"/>
      <c r="D14" s="8"/>
      <c r="E14" s="8"/>
      <c r="F14" s="8"/>
      <c r="G14" s="8"/>
      <c r="H14" s="8"/>
      <c r="I14" s="8"/>
      <c r="J14" s="34"/>
      <c r="K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1" customFormat="1" ht="39.75" customHeight="1" x14ac:dyDescent="0.2">
      <c r="A15" s="3"/>
      <c r="B15" s="20" t="s">
        <v>12</v>
      </c>
      <c r="C15" s="21" t="s">
        <v>13</v>
      </c>
      <c r="D15" s="20" t="s">
        <v>14</v>
      </c>
      <c r="E15" s="20" t="s">
        <v>112</v>
      </c>
      <c r="F15" s="20" t="s">
        <v>15</v>
      </c>
      <c r="G15" s="22" t="s">
        <v>16</v>
      </c>
      <c r="H15" s="20" t="str">
        <f>"30th June 2025 fee (co-payment) (Including GST at "&amp;TEXT(PreviousGSTRate,"#0.0%")&amp;")"</f>
        <v>30th June 2025 fee (co-payment) (Including GST at 15.0%)</v>
      </c>
      <c r="I15" s="20" t="s">
        <v>113</v>
      </c>
      <c r="J15" s="20" t="s">
        <v>17</v>
      </c>
      <c r="K15" s="20" t="s">
        <v>18</v>
      </c>
      <c r="L15"/>
      <c r="M15" s="85"/>
      <c r="N15" s="85"/>
      <c r="O15" s="86"/>
      <c r="P15" s="85"/>
      <c r="Q15" s="85"/>
      <c r="R15" s="85"/>
      <c r="S15" s="85"/>
      <c r="T15" s="86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s="1" customFormat="1" ht="15" customHeight="1" x14ac:dyDescent="0.2">
      <c r="A16" s="3"/>
      <c r="B16" s="10"/>
      <c r="C16" s="162"/>
      <c r="D16" s="35"/>
      <c r="E16" s="35"/>
      <c r="F16" s="11"/>
      <c r="G16" s="11"/>
      <c r="H16" s="13"/>
      <c r="I16" s="38"/>
      <c r="J16" s="92"/>
      <c r="K16" s="92"/>
      <c r="L16"/>
      <c r="M16" s="85"/>
      <c r="N16" s="85"/>
      <c r="O16" s="86"/>
      <c r="P16" s="85"/>
      <c r="Q16" s="85"/>
      <c r="R16" s="85"/>
      <c r="S16" s="85"/>
      <c r="T16" s="8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s="1" customFormat="1" ht="15" customHeight="1" x14ac:dyDescent="0.2">
      <c r="A17" s="3"/>
      <c r="B17" s="31" t="s">
        <v>19</v>
      </c>
      <c r="C17" s="149">
        <v>0</v>
      </c>
      <c r="D17" s="153">
        <f>Parameters!C4</f>
        <v>2.8681228879651899</v>
      </c>
      <c r="E17" s="154">
        <f>Parameters!C13</f>
        <v>488.56180000000001</v>
      </c>
      <c r="F17" s="59">
        <f>G17+I17</f>
        <v>170.34200384161838</v>
      </c>
      <c r="G17" s="53">
        <f>E17/D17</f>
        <v>170.34200384161838</v>
      </c>
      <c r="H17" s="151">
        <v>0</v>
      </c>
      <c r="I17" s="84">
        <f>H17/(1+PreviousGSTRate)</f>
        <v>0</v>
      </c>
      <c r="J17" s="40">
        <f>C17*D17*I17</f>
        <v>0</v>
      </c>
      <c r="K17" s="40">
        <f>C17*(G17+I17)*D17</f>
        <v>0</v>
      </c>
      <c r="L17"/>
      <c r="M17" s="85"/>
      <c r="N17" s="85"/>
      <c r="O17" s="86"/>
      <c r="P17" s="85"/>
      <c r="Q17" s="85"/>
      <c r="R17" s="85"/>
      <c r="S17" s="85"/>
      <c r="T17" s="8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s="1" customFormat="1" ht="15" customHeight="1" x14ac:dyDescent="0.2">
      <c r="A18" s="3"/>
      <c r="B18" s="10"/>
      <c r="C18" s="162"/>
      <c r="D18" s="155"/>
      <c r="E18" s="35"/>
      <c r="F18" s="11"/>
      <c r="G18" s="11"/>
      <c r="H18" s="13"/>
      <c r="I18" s="38"/>
      <c r="J18" s="35"/>
      <c r="K18" s="35"/>
      <c r="L18"/>
      <c r="M18" s="87"/>
      <c r="N18" s="87"/>
      <c r="O18" s="88"/>
      <c r="P18" s="87"/>
      <c r="Q18" s="87"/>
      <c r="R18" s="89"/>
      <c r="S18" s="89"/>
      <c r="T18" s="9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5" customHeight="1" x14ac:dyDescent="0.2">
      <c r="A19" s="2"/>
      <c r="B19" s="31" t="s">
        <v>20</v>
      </c>
      <c r="C19" s="149">
        <v>0</v>
      </c>
      <c r="D19" s="153">
        <f>Parameters!C5</f>
        <v>1.5988406954215999</v>
      </c>
      <c r="E19" s="154">
        <f>Parameters!C14</f>
        <v>136.97829999999999</v>
      </c>
      <c r="F19" s="59">
        <f>G19+I19</f>
        <v>85.673513560323812</v>
      </c>
      <c r="G19" s="53">
        <f>E19/D19</f>
        <v>85.673513560323812</v>
      </c>
      <c r="H19" s="151">
        <v>0</v>
      </c>
      <c r="I19" s="84">
        <f>H19/(1+PreviousGSTRate)</f>
        <v>0</v>
      </c>
      <c r="J19" s="40">
        <f>C19*D19*I19</f>
        <v>0</v>
      </c>
      <c r="K19" s="40">
        <f>C19*(G19+I19)*D19</f>
        <v>0</v>
      </c>
      <c r="M19" s="87"/>
      <c r="N19" s="87"/>
      <c r="O19" s="88"/>
      <c r="P19" s="87"/>
      <c r="Q19" s="87"/>
      <c r="R19" s="89"/>
      <c r="S19" s="89"/>
      <c r="T19" s="9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2"/>
      <c r="B20" s="10"/>
      <c r="C20" s="162"/>
      <c r="D20" s="156"/>
      <c r="E20" s="35"/>
      <c r="F20" s="163"/>
      <c r="G20" s="11"/>
      <c r="H20" s="38"/>
      <c r="I20" s="164"/>
      <c r="J20" s="36"/>
      <c r="K20" s="37"/>
      <c r="M20" s="87"/>
      <c r="N20" s="87"/>
      <c r="O20" s="88"/>
      <c r="P20" s="87"/>
      <c r="Q20" s="87"/>
      <c r="R20" s="89"/>
      <c r="S20" s="89"/>
      <c r="T20" s="9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" customHeight="1" x14ac:dyDescent="0.2">
      <c r="A21" s="2"/>
      <c r="B21" s="24" t="s">
        <v>21</v>
      </c>
      <c r="C21" s="150">
        <v>0</v>
      </c>
      <c r="D21" s="153">
        <f>Parameters!C6</f>
        <v>1.5816458570429599</v>
      </c>
      <c r="E21" s="154">
        <f>Parameters!C15</f>
        <v>128.85120000000001</v>
      </c>
      <c r="F21" s="59">
        <f>G21+I21</f>
        <v>81.466530213596485</v>
      </c>
      <c r="G21" s="53">
        <f>E21/D21</f>
        <v>81.466530213596485</v>
      </c>
      <c r="H21" s="151">
        <v>0</v>
      </c>
      <c r="I21" s="84">
        <f>H21/(1+PreviousGSTRate)</f>
        <v>0</v>
      </c>
      <c r="J21" s="40">
        <f>C21*D21*I21</f>
        <v>0</v>
      </c>
      <c r="K21" s="40">
        <f>C21*(G21+I21)*D21</f>
        <v>0</v>
      </c>
      <c r="M21" s="87"/>
      <c r="N21" s="87"/>
      <c r="O21" s="88"/>
      <c r="P21" s="87"/>
      <c r="Q21" s="87"/>
      <c r="R21" s="89"/>
      <c r="S21" s="89"/>
      <c r="T21" s="9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" customHeight="1" x14ac:dyDescent="0.2">
      <c r="A22" s="2"/>
      <c r="B22" s="10"/>
      <c r="C22" s="162"/>
      <c r="D22" s="156"/>
      <c r="E22" s="35"/>
      <c r="F22" s="163"/>
      <c r="G22" s="11"/>
      <c r="H22" s="38"/>
      <c r="I22" s="164"/>
      <c r="J22" s="36"/>
      <c r="K22" s="37"/>
      <c r="M22" s="87"/>
      <c r="N22" s="87"/>
      <c r="O22" s="88"/>
      <c r="P22" s="87"/>
      <c r="Q22" s="87"/>
      <c r="R22" s="89"/>
      <c r="S22" s="89"/>
      <c r="T22" s="9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" customHeight="1" x14ac:dyDescent="0.2">
      <c r="A23" s="2"/>
      <c r="B23" s="24" t="s">
        <v>22</v>
      </c>
      <c r="C23" s="149">
        <v>0</v>
      </c>
      <c r="D23" s="153">
        <f>Parameters!C7</f>
        <v>2.09723121001177</v>
      </c>
      <c r="E23" s="154">
        <f>Parameters!C16</f>
        <v>127.6044</v>
      </c>
      <c r="F23" s="59">
        <f>G23+I23</f>
        <v>60.844221367125208</v>
      </c>
      <c r="G23" s="53">
        <f>E23/D23</f>
        <v>60.844221367125208</v>
      </c>
      <c r="H23" s="151">
        <v>0</v>
      </c>
      <c r="I23" s="84">
        <f>H23/(1+PreviousGSTRate)</f>
        <v>0</v>
      </c>
      <c r="J23" s="40">
        <f>C23*D23*I23</f>
        <v>0</v>
      </c>
      <c r="K23" s="40">
        <f>C23*(G23+I23)*D23</f>
        <v>0</v>
      </c>
      <c r="M23" s="87"/>
      <c r="N23" s="87"/>
      <c r="O23" s="88"/>
      <c r="P23" s="87"/>
      <c r="Q23" s="87"/>
      <c r="R23" s="89"/>
      <c r="S23" s="89"/>
      <c r="T23" s="90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" customHeight="1" x14ac:dyDescent="0.2">
      <c r="A24" s="2"/>
      <c r="B24" s="10"/>
      <c r="C24" s="162"/>
      <c r="D24" s="156"/>
      <c r="E24" s="35"/>
      <c r="F24" s="163"/>
      <c r="G24" s="11"/>
      <c r="H24" s="38"/>
      <c r="I24" s="164"/>
      <c r="J24" s="36"/>
      <c r="K24" s="37"/>
      <c r="L24" s="91"/>
      <c r="M24" s="88"/>
      <c r="N24" s="88"/>
      <c r="O24" s="88"/>
      <c r="P24" s="88"/>
      <c r="Q24" s="88"/>
      <c r="R24" s="90"/>
      <c r="S24" s="90"/>
      <c r="T24" s="90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" customHeight="1" x14ac:dyDescent="0.2">
      <c r="A25" s="2"/>
      <c r="B25" s="24" t="s">
        <v>23</v>
      </c>
      <c r="C25" s="149">
        <v>0</v>
      </c>
      <c r="D25" s="153">
        <f>Parameters!C8</f>
        <v>2.4154392608709898</v>
      </c>
      <c r="E25" s="154">
        <f>Parameters!C17</f>
        <v>119.4933</v>
      </c>
      <c r="F25" s="59">
        <f>G25+I25</f>
        <v>49.470629187716192</v>
      </c>
      <c r="G25" s="53">
        <f>E25/D25</f>
        <v>49.470629187716192</v>
      </c>
      <c r="H25" s="151">
        <v>0</v>
      </c>
      <c r="I25" s="84">
        <f>H25/(1+PreviousGSTRate)</f>
        <v>0</v>
      </c>
      <c r="J25" s="40">
        <f>C25*D25*I25</f>
        <v>0</v>
      </c>
      <c r="K25" s="40">
        <f>C25*(G25+I25)*D25</f>
        <v>0</v>
      </c>
      <c r="L25" s="2"/>
      <c r="M25" s="2"/>
      <c r="N25" s="3"/>
      <c r="O25" s="3"/>
      <c r="P25" s="3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customHeight="1" x14ac:dyDescent="0.2">
      <c r="A26" s="2"/>
      <c r="B26" s="10"/>
      <c r="C26" s="162"/>
      <c r="D26" s="157"/>
      <c r="E26" s="35"/>
      <c r="F26" s="163"/>
      <c r="G26" s="11"/>
      <c r="H26" s="38"/>
      <c r="I26" s="164"/>
      <c r="J26" s="39"/>
      <c r="K26" s="39"/>
      <c r="L26" s="2"/>
      <c r="M26" s="2"/>
      <c r="N26" s="3"/>
      <c r="O26" s="3"/>
      <c r="P26" s="3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" customHeight="1" x14ac:dyDescent="0.2">
      <c r="A27" s="2"/>
      <c r="B27" s="24" t="s">
        <v>24</v>
      </c>
      <c r="C27" s="149">
        <v>0</v>
      </c>
      <c r="D27" s="153">
        <f>Parameters!C9</f>
        <v>3.4813668846661998</v>
      </c>
      <c r="E27" s="154">
        <f>Parameters!C18</f>
        <v>173.1027</v>
      </c>
      <c r="F27" s="59">
        <f>G27+I27</f>
        <v>49.722624973092266</v>
      </c>
      <c r="G27" s="53">
        <f>E27/D27</f>
        <v>49.722624973092266</v>
      </c>
      <c r="H27" s="151">
        <v>0</v>
      </c>
      <c r="I27" s="84">
        <f>H27/(1+PreviousGSTRate)</f>
        <v>0</v>
      </c>
      <c r="J27" s="40">
        <f>C27*D27*I27</f>
        <v>0</v>
      </c>
      <c r="K27" s="40">
        <f>C27*(G27+I27)*D27</f>
        <v>0</v>
      </c>
      <c r="L27" s="2"/>
      <c r="M27" s="2"/>
      <c r="N27" s="3"/>
      <c r="O27" s="3"/>
      <c r="P27" s="3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" customHeight="1" x14ac:dyDescent="0.2">
      <c r="A28" s="2"/>
      <c r="B28" s="10"/>
      <c r="C28" s="162"/>
      <c r="D28" s="156"/>
      <c r="E28" s="35"/>
      <c r="F28" s="163"/>
      <c r="G28" s="11"/>
      <c r="H28" s="38"/>
      <c r="I28" s="164"/>
      <c r="J28" s="36"/>
      <c r="K28" s="37"/>
      <c r="L28" s="2"/>
      <c r="M28" s="2"/>
      <c r="N28" s="3"/>
      <c r="O28" s="3"/>
      <c r="P28" s="3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2"/>
      <c r="B29" s="24" t="s">
        <v>25</v>
      </c>
      <c r="C29" s="149">
        <v>0</v>
      </c>
      <c r="D29" s="153">
        <f>Parameters!C10</f>
        <v>5.5652075421566396</v>
      </c>
      <c r="E29" s="154">
        <f>Parameters!C19</f>
        <v>318.3546</v>
      </c>
      <c r="F29" s="59">
        <f>G29+I29</f>
        <v>57.204443426135128</v>
      </c>
      <c r="G29" s="53">
        <f>E29/D29</f>
        <v>57.204443426135128</v>
      </c>
      <c r="H29" s="151">
        <v>0</v>
      </c>
      <c r="I29" s="84">
        <f>H29/(1+PreviousGSTRate)</f>
        <v>0</v>
      </c>
      <c r="J29" s="40">
        <f>C29*D29*I29</f>
        <v>0</v>
      </c>
      <c r="K29" s="40">
        <f>C29*(G29+I29)*D29</f>
        <v>0</v>
      </c>
      <c r="L29" s="2"/>
      <c r="M29" s="2"/>
      <c r="N29" s="3"/>
      <c r="O29" s="3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95" customFormat="1" ht="15" customHeight="1" x14ac:dyDescent="0.2">
      <c r="A30" s="96"/>
      <c r="B30" s="129"/>
      <c r="C30" s="124"/>
      <c r="D30" s="124"/>
      <c r="E30" s="124"/>
      <c r="F30" s="124"/>
      <c r="G30" s="124"/>
      <c r="H30" s="124"/>
      <c r="I30" s="124"/>
      <c r="J30" s="130"/>
      <c r="K30" s="130"/>
      <c r="L30" s="131"/>
      <c r="M30" s="131"/>
      <c r="N30" s="131"/>
      <c r="O30" s="131"/>
      <c r="P30" s="131"/>
      <c r="Q30" s="131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</row>
    <row r="31" spans="1:36" s="108" customFormat="1" ht="20.100000000000001" customHeight="1" x14ac:dyDescent="0.2">
      <c r="A31" s="103"/>
      <c r="B31" s="104"/>
      <c r="C31" s="104"/>
      <c r="D31" s="104"/>
      <c r="E31" s="105" t="s">
        <v>7</v>
      </c>
      <c r="F31" s="197" t="s">
        <v>26</v>
      </c>
      <c r="G31" s="197"/>
      <c r="H31" s="102"/>
      <c r="I31" s="144" t="str">
        <f>IF(K31=0,"n/a",(K31-J31)/K31)</f>
        <v>n/a</v>
      </c>
      <c r="J31" s="106">
        <f>SUM(J17:J29)</f>
        <v>0</v>
      </c>
      <c r="K31" s="106">
        <f>SUM(K17:K29)</f>
        <v>0</v>
      </c>
      <c r="L31" s="107"/>
      <c r="M31" s="107"/>
      <c r="N31" s="107"/>
      <c r="O31" s="107"/>
      <c r="P31" s="107"/>
      <c r="Q31" s="107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</row>
    <row r="32" spans="1:36" s="108" customFormat="1" ht="20.100000000000001" customHeight="1" x14ac:dyDescent="0.2">
      <c r="A32" s="103"/>
      <c r="B32" s="104"/>
      <c r="C32" s="104"/>
      <c r="D32" s="104"/>
      <c r="E32" s="105" t="s">
        <v>27</v>
      </c>
      <c r="F32" s="140" t="s">
        <v>28</v>
      </c>
      <c r="G32" s="140"/>
      <c r="H32" s="102"/>
      <c r="I32" s="144" t="str">
        <f>IF(K31=0,"n/a",J31/K31)</f>
        <v>n/a</v>
      </c>
      <c r="J32" s="109"/>
      <c r="K32" s="109"/>
      <c r="L32" s="107"/>
      <c r="M32" s="107"/>
      <c r="N32" s="107"/>
      <c r="O32" s="107"/>
      <c r="P32" s="107"/>
      <c r="Q32" s="107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</row>
    <row r="33" spans="1:36" s="95" customFormat="1" ht="9" customHeight="1" x14ac:dyDescent="0.2">
      <c r="A33" s="96"/>
      <c r="B33" s="124"/>
      <c r="C33" s="124"/>
      <c r="D33" s="124"/>
      <c r="E33" s="132" t="s">
        <v>29</v>
      </c>
      <c r="F33" s="124"/>
      <c r="G33" s="124"/>
      <c r="H33" s="124"/>
      <c r="I33" s="124"/>
      <c r="J33" s="130"/>
      <c r="K33" s="130"/>
      <c r="L33" s="131"/>
      <c r="M33" s="131"/>
      <c r="N33" s="131"/>
      <c r="O33" s="131"/>
      <c r="P33" s="131"/>
      <c r="Q33" s="131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</row>
    <row r="34" spans="1:3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7.100000000000001" customHeight="1" x14ac:dyDescent="0.25">
      <c r="A35" s="2"/>
      <c r="B35" s="141" t="s">
        <v>30</v>
      </c>
      <c r="C35" s="142"/>
      <c r="D35" s="142"/>
      <c r="E35" s="142"/>
      <c r="F35" s="9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7.100000000000001" customHeight="1" x14ac:dyDescent="0.2">
      <c r="B36" s="143" t="s">
        <v>116</v>
      </c>
      <c r="C36" s="143"/>
      <c r="D36" s="143"/>
      <c r="E36" s="143"/>
      <c r="F36" s="95"/>
    </row>
    <row r="37" spans="1:36" ht="17.100000000000001" customHeight="1" x14ac:dyDescent="0.2">
      <c r="A37" s="2"/>
      <c r="B37" s="143" t="s">
        <v>117</v>
      </c>
      <c r="C37" s="143"/>
      <c r="D37" s="143"/>
      <c r="E37" s="143"/>
      <c r="F37" s="9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7.100000000000001" customHeight="1" x14ac:dyDescent="0.2">
      <c r="A38" s="2"/>
      <c r="B38" s="142" t="s">
        <v>31</v>
      </c>
      <c r="C38" s="142"/>
      <c r="D38" s="142"/>
      <c r="E38" s="142"/>
      <c r="F38" s="9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7.100000000000001" customHeight="1" x14ac:dyDescent="0.2">
      <c r="A39" s="2"/>
      <c r="B39" s="142" t="s">
        <v>32</v>
      </c>
      <c r="C39" s="142"/>
      <c r="D39" s="142"/>
      <c r="E39" s="142"/>
      <c r="F39" s="9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">
      <c r="A43" s="5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">
      <c r="A44" s="5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">
      <c r="A45" s="5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">
      <c r="A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">
      <c r="A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">
      <c r="A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">
      <c r="A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">
      <c r="A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">
      <c r="A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">
      <c r="A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">
      <c r="A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">
      <c r="A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">
      <c r="A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">
      <c r="A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">
      <c r="A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">
      <c r="A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">
      <c r="A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">
      <c r="A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">
      <c r="A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">
      <c r="A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">
      <c r="A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">
      <c r="A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">
      <c r="A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">
      <c r="A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">
      <c r="A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">
      <c r="A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">
      <c r="A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">
      <c r="A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">
      <c r="A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">
      <c r="A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">
      <c r="A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">
      <c r="A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">
      <c r="A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">
      <c r="A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">
      <c r="A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">
      <c r="A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">
      <c r="A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">
      <c r="A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">
      <c r="A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">
      <c r="A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">
      <c r="A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">
      <c r="A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">
      <c r="A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</sheetData>
  <sheetProtection algorithmName="SHA-512" hashValue="GeIf2J3XnuK+ghLoUe8mGUl/vtyejAOjtdQJqB9MnYtb2GD2YgtQIwr3HMG1oyYBzvJwS07cgm6nLBEhnArqnw==" saltValue="bRjzT9tM+Wh6qGyGvDIgsw==" spinCount="100000" sheet="1" selectLockedCells="1"/>
  <mergeCells count="4">
    <mergeCell ref="B5:I5"/>
    <mergeCell ref="F31:G31"/>
    <mergeCell ref="B3:I3"/>
    <mergeCell ref="B1:I1"/>
  </mergeCells>
  <phoneticPr fontId="0" type="noConversion"/>
  <pageMargins left="0.25" right="0.25" top="0.75" bottom="0.75" header="0.3" footer="0.3"/>
  <pageSetup paperSize="9" scale="77" orientation="landscape" verticalDpi="90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38100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38100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38100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38100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38100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38100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82745D-6DCF-4B46-B721-3A7DD7319D66}">
          <x14:formula1>
            <xm:f>Parameters!$Q$5:$Q$6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64"/>
  <sheetViews>
    <sheetView showGridLines="0" view="pageBreakPreview" topLeftCell="A19" zoomScale="80" zoomScaleNormal="70" zoomScaleSheetLayoutView="80" workbookViewId="0">
      <selection activeCell="F35" sqref="F35"/>
    </sheetView>
  </sheetViews>
  <sheetFormatPr defaultRowHeight="12.75" x14ac:dyDescent="0.2"/>
  <cols>
    <col min="1" max="1" width="6" customWidth="1"/>
    <col min="2" max="2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7" max="7" width="5" customWidth="1"/>
  </cols>
  <sheetData>
    <row r="1" spans="1:31" ht="11.25" customHeight="1" x14ac:dyDescent="0.2">
      <c r="A1" s="2"/>
      <c r="B1" s="2"/>
      <c r="C1" s="32"/>
      <c r="D1" s="32"/>
      <c r="E1" s="32"/>
      <c r="F1" s="32"/>
      <c r="G1" s="3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1.25" customHeight="1" x14ac:dyDescent="0.2">
      <c r="A2" s="2"/>
      <c r="B2" s="2"/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96" t="s">
        <v>33</v>
      </c>
      <c r="D3" s="196"/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202" t="s">
        <v>34</v>
      </c>
      <c r="D4" s="202"/>
      <c r="E4" s="202"/>
      <c r="F4" s="202"/>
      <c r="G4" s="20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2"/>
      <c r="D5" s="32"/>
      <c r="E5" s="32"/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200" t="s">
        <v>35</v>
      </c>
      <c r="D7" s="200"/>
      <c r="E7" s="200"/>
      <c r="F7" s="200"/>
      <c r="G7" s="20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2"/>
      <c r="D8" s="32"/>
      <c r="E8" s="32"/>
      <c r="F8" s="32"/>
      <c r="G8" s="3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2"/>
      <c r="D9" s="50" t="s">
        <v>36</v>
      </c>
      <c r="E9" s="47" t="s">
        <v>37</v>
      </c>
      <c r="F9" s="32"/>
      <c r="G9" s="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49" t="str">
        <f>'Revenue Split'!I31</f>
        <v>n/a</v>
      </c>
      <c r="E10" s="48" t="str">
        <f>IF(D10="n/a","n/a",1-D10)</f>
        <v>n/a</v>
      </c>
      <c r="F10" s="165">
        <v>0.5</v>
      </c>
      <c r="G10" s="166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2"/>
      <c r="B14" s="2"/>
      <c r="C14" s="172" t="s">
        <v>38</v>
      </c>
      <c r="D14" s="173" t="s">
        <v>39</v>
      </c>
      <c r="E14" s="174" t="s">
        <v>40</v>
      </c>
      <c r="F14" s="174" t="s">
        <v>41</v>
      </c>
      <c r="G14" s="17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2"/>
      <c r="B15" s="2"/>
      <c r="C15" s="172"/>
      <c r="D15" s="172"/>
      <c r="E15" s="172"/>
      <c r="F15" s="172" t="s">
        <v>42</v>
      </c>
      <c r="G15" s="17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2"/>
      <c r="B16" s="2"/>
      <c r="C16" s="171"/>
      <c r="D16" s="171"/>
      <c r="E16" s="2"/>
      <c r="F16" s="2"/>
      <c r="G16" s="17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2"/>
      <c r="B17" s="2"/>
      <c r="C17" s="176" t="s">
        <v>43</v>
      </c>
      <c r="D17" s="177">
        <v>3.7364019933937273E-2</v>
      </c>
      <c r="E17" s="177">
        <v>2.7980000000000001E-2</v>
      </c>
      <c r="F17" s="178">
        <f t="shared" ref="F17:F29" si="0">IF(D17&gt;E17,(D17-(MAX($D$10,DefaultCapitationContribution)*E17))/MIN($E$10,DefaultCopaymentContribution),IF(ISNUMBER($D$10),(D17-$D$10*E17)/$E$10,(D17-DefaultCapitationContribution*E17)/DefaultCopaymentContribution))</f>
        <v>4.6748039867874541E-2</v>
      </c>
      <c r="G17" s="17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2"/>
      <c r="B18" s="2"/>
      <c r="C18" s="179" t="s">
        <v>44</v>
      </c>
      <c r="D18" s="184">
        <v>4.8000000000000001E-2</v>
      </c>
      <c r="E18" s="184">
        <v>3.116E-2</v>
      </c>
      <c r="F18" s="180">
        <f t="shared" si="0"/>
        <v>6.4840000000000009E-2</v>
      </c>
      <c r="G18" s="17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2"/>
      <c r="B19" s="2"/>
      <c r="C19" s="179" t="s">
        <v>45</v>
      </c>
      <c r="D19" s="184">
        <v>3.0099999999999998E-2</v>
      </c>
      <c r="E19" s="184">
        <v>0.02</v>
      </c>
      <c r="F19" s="180">
        <f t="shared" si="0"/>
        <v>4.02E-2</v>
      </c>
      <c r="G19" s="3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2"/>
      <c r="B20" s="2"/>
      <c r="C20" s="179" t="s">
        <v>46</v>
      </c>
      <c r="D20" s="184">
        <v>1.0945E-2</v>
      </c>
      <c r="E20" s="184">
        <v>0.02</v>
      </c>
      <c r="F20" s="180">
        <f t="shared" si="0"/>
        <v>1.8899999999999993E-3</v>
      </c>
      <c r="G20" s="3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2"/>
      <c r="B21" s="2"/>
      <c r="C21" s="179" t="s">
        <v>47</v>
      </c>
      <c r="D21" s="184">
        <v>1.414E-2</v>
      </c>
      <c r="E21" s="184">
        <v>1.49E-2</v>
      </c>
      <c r="F21" s="180">
        <f t="shared" si="0"/>
        <v>1.338E-2</v>
      </c>
      <c r="G21" s="3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2"/>
      <c r="B22" s="2"/>
      <c r="C22" s="179" t="s">
        <v>48</v>
      </c>
      <c r="D22" s="184">
        <v>1.504E-2</v>
      </c>
      <c r="E22" s="184">
        <v>0.01</v>
      </c>
      <c r="F22" s="180">
        <f t="shared" si="0"/>
        <v>2.0080000000000001E-2</v>
      </c>
      <c r="G22" s="3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C23" s="179" t="s">
        <v>49</v>
      </c>
      <c r="D23" s="184">
        <v>1.1849999999999999E-2</v>
      </c>
      <c r="E23" s="184">
        <v>0.01</v>
      </c>
      <c r="F23" s="180">
        <f t="shared" si="0"/>
        <v>1.3699999999999999E-2</v>
      </c>
      <c r="G23" s="32"/>
    </row>
    <row r="24" spans="1:31" s="2" customFormat="1" ht="15" customHeight="1" x14ac:dyDescent="0.25">
      <c r="C24" s="179" t="s">
        <v>50</v>
      </c>
      <c r="D24" s="184">
        <v>1.1037E-2</v>
      </c>
      <c r="E24" s="184">
        <v>8.0000000000000002E-3</v>
      </c>
      <c r="F24" s="180">
        <f t="shared" si="0"/>
        <v>1.4074E-2</v>
      </c>
      <c r="G24" s="32"/>
    </row>
    <row r="25" spans="1:31" s="2" customFormat="1" ht="15" customHeight="1" x14ac:dyDescent="0.25">
      <c r="C25" s="179" t="s">
        <v>51</v>
      </c>
      <c r="D25" s="184">
        <v>1.1246702000000001E-2</v>
      </c>
      <c r="E25" s="184">
        <v>0.01</v>
      </c>
      <c r="F25" s="180">
        <f t="shared" si="0"/>
        <v>1.2493404000000001E-2</v>
      </c>
      <c r="G25" s="32"/>
    </row>
    <row r="26" spans="1:31" s="2" customFormat="1" ht="15" customHeight="1" x14ac:dyDescent="0.25">
      <c r="C26" s="179" t="s">
        <v>52</v>
      </c>
      <c r="D26" s="184">
        <v>1.5699999999999999E-2</v>
      </c>
      <c r="E26" s="184">
        <v>1.8200000000000001E-2</v>
      </c>
      <c r="F26" s="180">
        <f t="shared" si="0"/>
        <v>1.3199999999999996E-2</v>
      </c>
      <c r="G26" s="32"/>
    </row>
    <row r="27" spans="1:31" s="2" customFormat="1" ht="15" customHeight="1" x14ac:dyDescent="0.25">
      <c r="C27" s="179" t="s">
        <v>53</v>
      </c>
      <c r="D27" s="184">
        <v>2.3800000000000002E-2</v>
      </c>
      <c r="E27" s="184">
        <v>2.3800000000000002E-2</v>
      </c>
      <c r="F27" s="180">
        <f t="shared" si="0"/>
        <v>2.3800000000000002E-2</v>
      </c>
      <c r="G27" s="32"/>
    </row>
    <row r="28" spans="1:31" s="2" customFormat="1" ht="15" customHeight="1" x14ac:dyDescent="0.25">
      <c r="C28" s="179" t="s">
        <v>54</v>
      </c>
      <c r="D28" s="184">
        <v>2.9100000000000001E-2</v>
      </c>
      <c r="E28" s="184">
        <v>2.9100000000000001E-2</v>
      </c>
      <c r="F28" s="180">
        <f t="shared" si="0"/>
        <v>2.9100000000000001E-2</v>
      </c>
      <c r="G28" s="32"/>
    </row>
    <row r="29" spans="1:31" s="2" customFormat="1" ht="15" customHeight="1" x14ac:dyDescent="0.25">
      <c r="C29" s="179" t="s">
        <v>55</v>
      </c>
      <c r="D29" s="184">
        <v>3.5099999999999999E-2</v>
      </c>
      <c r="E29" s="184">
        <v>3.5099999999999999E-2</v>
      </c>
      <c r="F29" s="180">
        <f t="shared" si="0"/>
        <v>3.5099999999999999E-2</v>
      </c>
      <c r="G29" s="32"/>
    </row>
    <row r="30" spans="1:31" s="2" customFormat="1" ht="15" customHeight="1" x14ac:dyDescent="0.25">
      <c r="C30" s="179" t="s">
        <v>56</v>
      </c>
      <c r="D30" s="184">
        <v>2.7799999999999998E-2</v>
      </c>
      <c r="E30" s="184">
        <v>2.7799999999999998E-2</v>
      </c>
      <c r="F30" s="180">
        <f>IF(D30&gt;E30,(D30-(MAX($D$10,DefaultCapitationContribution)*E30))/MIN($E$10,DefaultCopaymentContribution),IF(ISNUMBER($D$10),(D30-$D$10*E30)/$E$10,(D30-DefaultCapitationContribution*E30)/DefaultCopaymentContribution))</f>
        <v>2.7799999999999998E-2</v>
      </c>
      <c r="G30" s="32"/>
    </row>
    <row r="31" spans="1:31" s="2" customFormat="1" ht="15" customHeight="1" x14ac:dyDescent="0.25">
      <c r="C31" s="179" t="s">
        <v>57</v>
      </c>
      <c r="D31" s="184">
        <v>2.3800000000000002E-2</v>
      </c>
      <c r="E31" s="184">
        <v>2.3800000000000002E-2</v>
      </c>
      <c r="F31" s="180">
        <f>IF(D31&gt;E31,(D31-(MAX($D$10,DefaultCapitationContribution)*E31))/MIN($E$10,DefaultCopaymentContribution),IF(ISNUMBER($D$10),(D31-$D$10*E31)/$E$10,(D31-DefaultCapitationContribution*E31)/DefaultCopaymentContribution))</f>
        <v>2.3800000000000002E-2</v>
      </c>
    </row>
    <row r="32" spans="1:31" s="2" customFormat="1" ht="15" customHeight="1" x14ac:dyDescent="0.25">
      <c r="C32" s="179" t="s">
        <v>58</v>
      </c>
      <c r="D32" s="184">
        <v>4.9200000000000001E-2</v>
      </c>
      <c r="E32" s="184">
        <v>4.9200000000000001E-2</v>
      </c>
      <c r="F32" s="180">
        <f>IF(D32&gt;E32,(D32-(MAX($D$10,DefaultCapitationContribution)*E32))/MIN($E$10,DefaultCopaymentContribution),IF(ISNUMBER($D$10),(D32-$D$10*E32)/$E$10,(D32-DefaultCapitationContribution*E32)/DefaultCopaymentContribution))</f>
        <v>4.9200000000000001E-2</v>
      </c>
    </row>
    <row r="33" spans="1:31" s="2" customFormat="1" ht="15" customHeight="1" x14ac:dyDescent="0.25">
      <c r="C33" s="179" t="s">
        <v>59</v>
      </c>
      <c r="D33" s="184">
        <v>5.8799999999999998E-2</v>
      </c>
      <c r="E33" s="184">
        <v>0.04</v>
      </c>
      <c r="F33" s="180">
        <f>IF(D33&gt;E33,(D33-(MAX($D$10,DefaultCapitationContribution)*E33))/MIN($E$10,DefaultCopaymentContribution),IF(ISNUMBER($D$10),(D33-$D$10*E33)/$E$10,(D33-DefaultCapitationContribution*E33)/DefaultCopaymentContribution))</f>
        <v>7.7600000000000002E-2</v>
      </c>
    </row>
    <row r="34" spans="1:31" s="2" customFormat="1" ht="15" customHeight="1" x14ac:dyDescent="0.25">
      <c r="C34" s="181" t="s">
        <v>95</v>
      </c>
      <c r="D34" s="182">
        <v>6.4299999999999996E-2</v>
      </c>
      <c r="E34" s="182" cm="1">
        <f t="array" ref="E34">_xlfn.IFS('Revenue Split'!G7=Parameters!Q5, 0.0969, 'Revenue Split'!G7=Parameters!Q6, 0.0643)</f>
        <v>9.69E-2</v>
      </c>
      <c r="F34" s="183">
        <f>MAX(0, MIN(1,
  IF(
    D34 &gt; E34,
    (D34 - (MAX($D$10, DefaultCapitationContribution) * E34)) / MIN($E$10, DefaultCopaymentContribution),
    IF(
      ISNUMBER($D$10),
      (D34 - $D$10 * E34) / $E$10,
      (D34 - DefaultCapitationContribution * E34) / DefaultCopaymentContribution
    )
  )
))</f>
        <v>3.1699999999999992E-2</v>
      </c>
    </row>
    <row r="35" spans="1:31" s="2" customFormat="1" ht="15" customHeight="1" x14ac:dyDescent="0.2">
      <c r="C35" s="32"/>
      <c r="D35" s="32"/>
      <c r="E35" s="32"/>
      <c r="F35" s="32"/>
      <c r="G35" s="32"/>
    </row>
    <row r="36" spans="1:31" ht="30.75" customHeight="1" x14ac:dyDescent="0.25">
      <c r="A36" s="2"/>
      <c r="B36" s="2"/>
      <c r="C36" s="201" t="s">
        <v>60</v>
      </c>
      <c r="D36" s="201"/>
      <c r="E36" s="201"/>
      <c r="F36" s="201"/>
      <c r="G36" s="20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">
      <c r="A37" s="2"/>
      <c r="B37" s="2"/>
      <c r="C37" s="32"/>
      <c r="D37" s="32"/>
      <c r="E37" s="32"/>
      <c r="F37" s="32"/>
      <c r="G37" s="3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2"/>
      <c r="B38" s="2"/>
      <c r="C38" s="2"/>
      <c r="D38" s="185" t="s">
        <v>38</v>
      </c>
      <c r="E38" s="186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2"/>
      <c r="B39" s="2"/>
      <c r="C39" s="2"/>
      <c r="D39" s="179"/>
      <c r="E39" s="18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2"/>
      <c r="B40" s="2"/>
      <c r="C40" s="2"/>
      <c r="D40" s="179" t="s">
        <v>43</v>
      </c>
      <c r="E40" s="180">
        <f t="shared" ref="E40:E50" si="1">F17</f>
        <v>4.6748039867874541E-2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2"/>
      <c r="B41" s="2"/>
      <c r="C41" s="2"/>
      <c r="D41" s="179" t="s">
        <v>44</v>
      </c>
      <c r="E41" s="180">
        <f t="shared" si="1"/>
        <v>6.4840000000000009E-2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2"/>
      <c r="B42" s="2"/>
      <c r="C42" s="2"/>
      <c r="D42" s="179" t="s">
        <v>45</v>
      </c>
      <c r="E42" s="180">
        <f t="shared" si="1"/>
        <v>4.02E-2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2"/>
      <c r="B43" s="2"/>
      <c r="C43" s="2"/>
      <c r="D43" s="179" t="s">
        <v>46</v>
      </c>
      <c r="E43" s="180">
        <f t="shared" si="1"/>
        <v>1.8899999999999993E-3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2"/>
      <c r="B44" s="2"/>
      <c r="C44" s="2"/>
      <c r="D44" s="179" t="s">
        <v>47</v>
      </c>
      <c r="E44" s="180">
        <f t="shared" si="1"/>
        <v>1.338E-2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2"/>
      <c r="B45" s="2"/>
      <c r="C45" s="2"/>
      <c r="D45" s="179" t="s">
        <v>48</v>
      </c>
      <c r="E45" s="180">
        <f t="shared" si="1"/>
        <v>2.0080000000000001E-2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2"/>
      <c r="B46" s="2"/>
      <c r="C46" s="2"/>
      <c r="D46" s="179" t="s">
        <v>49</v>
      </c>
      <c r="E46" s="180">
        <f t="shared" si="1"/>
        <v>1.3699999999999999E-2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2"/>
      <c r="B47" s="2"/>
      <c r="C47" s="2"/>
      <c r="D47" s="179" t="s">
        <v>50</v>
      </c>
      <c r="E47" s="180">
        <f t="shared" si="1"/>
        <v>1.4074E-2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2"/>
      <c r="B48" s="2"/>
      <c r="C48" s="2"/>
      <c r="D48" s="179" t="s">
        <v>51</v>
      </c>
      <c r="E48" s="180">
        <f t="shared" si="1"/>
        <v>1.2493404000000001E-2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2"/>
      <c r="B49" s="2"/>
      <c r="C49" s="2"/>
      <c r="D49" s="179" t="s">
        <v>52</v>
      </c>
      <c r="E49" s="180">
        <f t="shared" si="1"/>
        <v>1.3199999999999996E-2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2"/>
      <c r="B50" s="2"/>
      <c r="C50" s="2"/>
      <c r="D50" s="179" t="s">
        <v>53</v>
      </c>
      <c r="E50" s="180">
        <f t="shared" si="1"/>
        <v>2.3800000000000002E-2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2"/>
      <c r="B51" s="2"/>
      <c r="C51" s="2"/>
      <c r="D51" s="179" t="s">
        <v>54</v>
      </c>
      <c r="E51" s="180">
        <f>F28</f>
        <v>2.9100000000000001E-2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2"/>
      <c r="B52" s="2"/>
      <c r="C52" s="2"/>
      <c r="D52" s="179" t="s">
        <v>55</v>
      </c>
      <c r="E52" s="180">
        <f>F29</f>
        <v>3.5099999999999999E-2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2"/>
      <c r="B53" s="2"/>
      <c r="C53" s="2"/>
      <c r="D53" s="179" t="s">
        <v>56</v>
      </c>
      <c r="E53" s="180">
        <f>F30</f>
        <v>2.7799999999999998E-2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2"/>
      <c r="B54" s="2"/>
      <c r="C54" s="2"/>
      <c r="D54" s="179" t="s">
        <v>57</v>
      </c>
      <c r="E54" s="180">
        <f>F31</f>
        <v>2.3800000000000002E-2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2"/>
      <c r="B55" s="2"/>
      <c r="C55" s="2"/>
      <c r="D55" s="179" t="s">
        <v>58</v>
      </c>
      <c r="E55" s="180">
        <f t="shared" ref="E55:E57" si="2">F32</f>
        <v>4.9200000000000001E-2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5">
      <c r="A56" s="2"/>
      <c r="B56" s="2"/>
      <c r="C56" s="2"/>
      <c r="D56" s="179" t="s">
        <v>59</v>
      </c>
      <c r="E56" s="180">
        <f t="shared" si="2"/>
        <v>7.7600000000000002E-2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5">
      <c r="A57" s="2"/>
      <c r="B57" s="2"/>
      <c r="C57" s="2"/>
      <c r="D57" s="181" t="s">
        <v>95</v>
      </c>
      <c r="E57" s="183">
        <f t="shared" si="2"/>
        <v>3.1699999999999992E-2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7.45" customHeight="1" x14ac:dyDescent="0.25">
      <c r="A59" s="2"/>
      <c r="B59" s="2"/>
      <c r="D59" s="78" t="s">
        <v>62</v>
      </c>
      <c r="E59" s="79" t="s">
        <v>63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x14ac:dyDescent="0.25">
      <c r="A60" s="2"/>
      <c r="B60" s="2"/>
      <c r="C60" s="77" t="s">
        <v>61</v>
      </c>
      <c r="D60" s="152" t="s">
        <v>95</v>
      </c>
      <c r="E60" s="76">
        <f>VLOOKUP(D60,D40:E57,2,FALSE)</f>
        <v>3.1699999999999992E-2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33"/>
      <c r="B70" s="33"/>
      <c r="C70" s="33"/>
      <c r="D70" s="2"/>
      <c r="E70" s="2"/>
      <c r="F70" s="33"/>
      <c r="G70" s="33"/>
      <c r="H70" s="3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33"/>
      <c r="E71" s="3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33"/>
      <c r="B74" s="33"/>
      <c r="C74" s="33"/>
      <c r="D74" s="2"/>
      <c r="E74" s="2"/>
      <c r="F74" s="33"/>
      <c r="G74" s="33"/>
      <c r="H74" s="3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33"/>
      <c r="E75" s="3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x14ac:dyDescent="0.2">
      <c r="D364" s="2"/>
      <c r="E364" s="2"/>
    </row>
  </sheetData>
  <mergeCells count="4">
    <mergeCell ref="C3:G3"/>
    <mergeCell ref="C7:G7"/>
    <mergeCell ref="C36:G36"/>
    <mergeCell ref="C4:G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353"/>
  <sheetViews>
    <sheetView showGridLines="0" zoomScale="85" zoomScaleNormal="85" zoomScalePageLayoutView="70" workbookViewId="0">
      <selection activeCell="X33" sqref="X33"/>
    </sheetView>
  </sheetViews>
  <sheetFormatPr defaultRowHeight="12.75" x14ac:dyDescent="0.2"/>
  <cols>
    <col min="1" max="1" width="3.28515625" customWidth="1"/>
    <col min="2" max="2" width="2" customWidth="1"/>
    <col min="3" max="7" width="19.42578125" customWidth="1"/>
    <col min="8" max="8" width="3" customWidth="1"/>
    <col min="9" max="9" width="15" customWidth="1"/>
    <col min="10" max="10" width="15.42578125" hidden="1" customWidth="1"/>
    <col min="11" max="11" width="4.140625" customWidth="1"/>
    <col min="12" max="12" width="15" customWidth="1"/>
    <col min="13" max="13" width="0.28515625" customWidth="1"/>
    <col min="14" max="14" width="4.42578125" customWidth="1"/>
    <col min="15" max="15" width="5.5703125" hidden="1" customWidth="1"/>
    <col min="16" max="16" width="4" hidden="1" customWidth="1"/>
    <col min="17" max="17" width="3" customWidth="1"/>
    <col min="18" max="18" width="0.28515625" hidden="1" customWidth="1"/>
    <col min="19" max="19" width="19.5703125" customWidth="1"/>
    <col min="20" max="21" width="19.42578125" customWidth="1"/>
    <col min="22" max="22" width="3" customWidth="1"/>
    <col min="23" max="23" width="22.5703125" customWidth="1"/>
    <col min="24" max="24" width="20.28515625" customWidth="1"/>
    <col min="25" max="25" width="0.85546875" customWidth="1"/>
    <col min="26" max="26" width="5" customWidth="1"/>
    <col min="27" max="27" width="7.5703125" customWidth="1"/>
  </cols>
  <sheetData>
    <row r="1" spans="1:255" s="2" customFormat="1" ht="15" customHeight="1" x14ac:dyDescent="0.2"/>
    <row r="2" spans="1:255" ht="25.5" customHeight="1" x14ac:dyDescent="0.35">
      <c r="B2" s="61"/>
      <c r="C2" s="61" t="s">
        <v>64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255" ht="18" x14ac:dyDescent="0.25">
      <c r="A4" s="2"/>
      <c r="B4" s="43"/>
      <c r="C4" s="44" t="s">
        <v>65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255" ht="18" x14ac:dyDescent="0.25">
      <c r="A5" s="2"/>
      <c r="B5" s="43"/>
      <c r="C5" s="52" t="s">
        <v>66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255" ht="18" x14ac:dyDescent="0.25">
      <c r="A6" s="2"/>
      <c r="B6" s="43"/>
      <c r="C6" s="44" t="s">
        <v>67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255" ht="18" x14ac:dyDescent="0.25">
      <c r="A7" s="2"/>
      <c r="B7" s="43"/>
      <c r="C7" s="44" t="s">
        <v>68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255" ht="18" x14ac:dyDescent="0.25">
      <c r="A8" s="2"/>
      <c r="B8" s="43"/>
      <c r="C8" s="44" t="s">
        <v>114</v>
      </c>
      <c r="D8" s="43"/>
      <c r="E8" s="43"/>
      <c r="F8" s="83">
        <v>0.15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255" ht="18" x14ac:dyDescent="0.25">
      <c r="A9" s="2"/>
      <c r="B9" s="43"/>
      <c r="C9" s="44" t="s">
        <v>69</v>
      </c>
      <c r="D9" s="43"/>
      <c r="E9" s="43"/>
      <c r="F9" s="83">
        <v>0.15</v>
      </c>
      <c r="G9" s="167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255" ht="18" x14ac:dyDescent="0.25">
      <c r="A10" s="2"/>
      <c r="B10" s="43"/>
      <c r="C10" s="44"/>
      <c r="D10" s="43"/>
      <c r="E10" s="43"/>
      <c r="F10" s="43"/>
      <c r="G10" s="167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255" ht="6.75" customHeight="1" x14ac:dyDescent="0.2">
      <c r="A11" s="2"/>
      <c r="B11" s="2"/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255" ht="20.25" customHeight="1" x14ac:dyDescent="0.2">
      <c r="A12" s="2"/>
      <c r="B12" s="4"/>
      <c r="C12" s="8"/>
      <c r="D12" s="8"/>
      <c r="E12" s="8"/>
      <c r="F12" s="8"/>
      <c r="G12" s="8"/>
      <c r="H12" s="8"/>
      <c r="I12" s="203"/>
      <c r="J12" s="203"/>
      <c r="K12" s="203"/>
      <c r="L12" s="203"/>
      <c r="M12" s="8"/>
      <c r="N12" s="8"/>
      <c r="O12" s="8"/>
      <c r="P12" s="8"/>
      <c r="Q12" s="8"/>
      <c r="R12" s="8"/>
      <c r="S12" s="8"/>
      <c r="T12" s="8"/>
      <c r="U12" s="8"/>
      <c r="V12" s="4"/>
      <c r="W12" s="9"/>
      <c r="X12" s="9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255" s="1" customFormat="1" ht="51.75" customHeight="1" x14ac:dyDescent="0.2">
      <c r="A13" s="3"/>
      <c r="B13" s="4"/>
      <c r="C13" s="20" t="s">
        <v>12</v>
      </c>
      <c r="D13" s="21" t="s">
        <v>13</v>
      </c>
      <c r="E13" s="20" t="s">
        <v>70</v>
      </c>
      <c r="F13" s="20" t="str">
        <f>"30th June 2025 fee (co-payment) (incl GST @ "&amp;TEXT(PreviousGSTRate,"#0.0%")&amp;")"</f>
        <v>30th June 2025 fee (co-payment) (incl GST @ 15.0%)</v>
      </c>
      <c r="G13" s="20" t="s">
        <v>115</v>
      </c>
      <c r="H13" s="9"/>
      <c r="I13" s="204" t="s">
        <v>71</v>
      </c>
      <c r="J13" s="205"/>
      <c r="K13" s="206"/>
      <c r="L13" s="204" t="s">
        <v>72</v>
      </c>
      <c r="M13" s="205"/>
      <c r="N13" s="206"/>
      <c r="O13" s="23"/>
      <c r="P13" s="23"/>
      <c r="Q13" s="62"/>
      <c r="R13" s="9"/>
      <c r="S13" s="20" t="str">
        <f>"Proposed co-payment fee (incl GST @ " &amp; TEXT(CopaymentGSTRate,"#0.0%") &amp; ")"</f>
        <v>Proposed co-payment fee (incl GST @ 15.0%)</v>
      </c>
      <c r="T13" s="21" t="s">
        <v>73</v>
      </c>
      <c r="U13" s="21" t="s">
        <v>74</v>
      </c>
      <c r="V13" s="4"/>
      <c r="W13" s="20" t="s">
        <v>75</v>
      </c>
      <c r="X13" s="20" t="s">
        <v>76</v>
      </c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255" s="119" customFormat="1" ht="18" customHeight="1" x14ac:dyDescent="0.2">
      <c r="A14" s="101"/>
      <c r="B14" s="110"/>
      <c r="C14" s="111"/>
      <c r="D14" s="168"/>
      <c r="E14" s="168"/>
      <c r="F14" s="112"/>
      <c r="G14" s="113"/>
      <c r="H14" s="113"/>
      <c r="I14" s="114"/>
      <c r="J14" s="115"/>
      <c r="K14" s="116"/>
      <c r="L14" s="116"/>
      <c r="M14" s="116"/>
      <c r="N14" s="116"/>
      <c r="O14" s="116"/>
      <c r="P14" s="116"/>
      <c r="Q14" s="117"/>
      <c r="R14" s="118"/>
      <c r="S14" s="209" t="str">
        <f>IF(S15&lt;=0,"Under 6 age group won't count towards total co-payment adjustment","")</f>
        <v>Under 6 age group won't count towards total co-payment adjustment</v>
      </c>
      <c r="T14" s="209"/>
      <c r="U14" s="210"/>
      <c r="V14" s="210"/>
      <c r="W14" s="210"/>
      <c r="X14" s="210"/>
      <c r="Y14" s="110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255" s="1" customFormat="1" ht="15" customHeight="1" x14ac:dyDescent="0.2">
      <c r="A15" s="3"/>
      <c r="B15" s="4"/>
      <c r="C15" s="31" t="s">
        <v>19</v>
      </c>
      <c r="D15" s="55">
        <f>'Revenue Split'!C17</f>
        <v>0</v>
      </c>
      <c r="E15" s="97">
        <f>'Revenue Split'!D17</f>
        <v>2.8681228879651899</v>
      </c>
      <c r="F15" s="56">
        <f>'Revenue Split'!H17</f>
        <v>0</v>
      </c>
      <c r="G15" s="56">
        <f>F15/(1+PreviousGSTRate)</f>
        <v>0</v>
      </c>
      <c r="H15" s="13"/>
      <c r="I15" s="64">
        <f>(J15-1000)/10</f>
        <v>0</v>
      </c>
      <c r="J15" s="65">
        <v>1000</v>
      </c>
      <c r="K15" s="29"/>
      <c r="L15" s="99">
        <f>(M15-1000)/1000</f>
        <v>0</v>
      </c>
      <c r="M15" s="65">
        <v>1000</v>
      </c>
      <c r="N15" s="25"/>
      <c r="O15" s="26">
        <f>IF(I15&lt;&gt;0,1,0)</f>
        <v>0</v>
      </c>
      <c r="P15" s="26">
        <f>IF(L15&lt;&gt;0,1,0)</f>
        <v>0</v>
      </c>
      <c r="Q15" s="66" t="b">
        <f>IF(SUM(O15:P15)&gt;1,TRUE)</f>
        <v>0</v>
      </c>
      <c r="R15" s="8"/>
      <c r="S15" s="27">
        <f>IF(I15=0,(F15*(1+L15)),F15+I15)</f>
        <v>0</v>
      </c>
      <c r="T15" s="27">
        <f>S15/(1+CopaymentGSTRate)</f>
        <v>0</v>
      </c>
      <c r="U15" s="67" t="str">
        <f>IF(G15=0,"n/a",(T15/G15-1))</f>
        <v>n/a</v>
      </c>
      <c r="V15" s="4"/>
      <c r="W15" s="27">
        <f>D15*E15*G15</f>
        <v>0</v>
      </c>
      <c r="X15" s="27">
        <f>D15*E15*T15</f>
        <v>0</v>
      </c>
      <c r="Y15" s="4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255" s="1" customFormat="1" ht="18" customHeight="1" x14ac:dyDescent="0.2">
      <c r="A16" s="3"/>
      <c r="B16" s="4"/>
      <c r="C16" s="10"/>
      <c r="D16" s="162"/>
      <c r="E16" s="169"/>
      <c r="F16" s="12"/>
      <c r="G16" s="13"/>
      <c r="H16" s="13"/>
      <c r="I16" s="14"/>
      <c r="J16" s="5"/>
      <c r="K16" s="15"/>
      <c r="L16" s="15"/>
      <c r="M16" s="15"/>
      <c r="N16" s="15"/>
      <c r="O16" s="15"/>
      <c r="P16" s="15"/>
      <c r="Q16" s="63"/>
      <c r="R16" s="60"/>
      <c r="S16" s="209" t="str">
        <f>IF(S17&lt;=0,"Under 14 age group won't count towards total co-payment adjustment","")</f>
        <v>Under 14 age group won't count towards total co-payment adjustment</v>
      </c>
      <c r="T16" s="209"/>
      <c r="U16" s="210"/>
      <c r="V16" s="210"/>
      <c r="W16" s="210"/>
      <c r="X16" s="210"/>
      <c r="Y16" s="4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5" customHeight="1" x14ac:dyDescent="0.2">
      <c r="A17" s="2"/>
      <c r="B17" s="4"/>
      <c r="C17" s="31" t="s">
        <v>20</v>
      </c>
      <c r="D17" s="55">
        <f>'Revenue Split'!C19</f>
        <v>0</v>
      </c>
      <c r="E17" s="97">
        <f>'Revenue Split'!D19</f>
        <v>1.5988406954215999</v>
      </c>
      <c r="F17" s="56">
        <f>'Revenue Split'!H19</f>
        <v>0</v>
      </c>
      <c r="G17" s="56">
        <f>F17/(1+PreviousGSTRate)</f>
        <v>0</v>
      </c>
      <c r="H17" s="13"/>
      <c r="I17" s="64">
        <f>(J17-1000)/10</f>
        <v>0</v>
      </c>
      <c r="J17" s="65">
        <v>1000</v>
      </c>
      <c r="K17" s="29"/>
      <c r="L17" s="99">
        <f>(M17-1000)/1000</f>
        <v>0</v>
      </c>
      <c r="M17" s="65">
        <v>1000</v>
      </c>
      <c r="N17" s="25"/>
      <c r="O17" s="26">
        <f>IF(I17&lt;&gt;0,1,0)</f>
        <v>0</v>
      </c>
      <c r="P17" s="26">
        <f>IF(L17&lt;&gt;0,1,0)</f>
        <v>0</v>
      </c>
      <c r="Q17" s="66" t="b">
        <f>IF(SUM(O17:P17)&gt;1,TRUE)</f>
        <v>0</v>
      </c>
      <c r="R17" s="8"/>
      <c r="S17" s="27">
        <f>IF(I17=0,(F17*(1+L17)),F17+I17)</f>
        <v>0</v>
      </c>
      <c r="T17" s="27">
        <f>S17/(1+CopaymentGSTRate)</f>
        <v>0</v>
      </c>
      <c r="U17" s="67" t="str">
        <f>IF(G17=0,"n/a",(T17/G17-1))</f>
        <v>n/a</v>
      </c>
      <c r="V17" s="4"/>
      <c r="W17" s="27">
        <f>D17*E17*G17</f>
        <v>0</v>
      </c>
      <c r="X17" s="27">
        <f>D17*E17*T17</f>
        <v>0</v>
      </c>
      <c r="Y17" s="4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5" customHeight="1" x14ac:dyDescent="0.2">
      <c r="A18" s="2"/>
      <c r="B18" s="4"/>
      <c r="C18" s="10"/>
      <c r="D18" s="57"/>
      <c r="E18" s="98"/>
      <c r="F18" s="58"/>
      <c r="G18" s="80"/>
      <c r="H18" s="13"/>
      <c r="I18" s="19"/>
      <c r="J18" s="17"/>
      <c r="K18" s="15"/>
      <c r="L18" s="18"/>
      <c r="M18" s="15"/>
      <c r="N18" s="15"/>
      <c r="O18" s="15"/>
      <c r="P18" s="15"/>
      <c r="Q18" s="63"/>
      <c r="R18" s="8"/>
      <c r="S18" s="14"/>
      <c r="T18" s="14"/>
      <c r="U18" s="14"/>
      <c r="V18" s="4"/>
      <c r="W18" s="68"/>
      <c r="X18" s="68"/>
      <c r="Y18" s="4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 x14ac:dyDescent="0.2">
      <c r="A19" s="2"/>
      <c r="B19" s="4"/>
      <c r="C19" s="24" t="s">
        <v>21</v>
      </c>
      <c r="D19" s="55">
        <f>'Revenue Split'!C21</f>
        <v>0</v>
      </c>
      <c r="E19" s="97">
        <f>'Revenue Split'!D21</f>
        <v>1.5816458570429599</v>
      </c>
      <c r="F19" s="56">
        <f>'Revenue Split'!H21</f>
        <v>0</v>
      </c>
      <c r="G19" s="56">
        <f>F19/(1+PreviousGSTRate)</f>
        <v>0</v>
      </c>
      <c r="H19" s="13"/>
      <c r="I19" s="64">
        <f>(J19-1000)/10</f>
        <v>0</v>
      </c>
      <c r="J19" s="65">
        <v>1000</v>
      </c>
      <c r="K19" s="30"/>
      <c r="L19" s="100">
        <f>(M19-1000)/1000</f>
        <v>0</v>
      </c>
      <c r="M19" s="65">
        <v>1000</v>
      </c>
      <c r="N19" s="28"/>
      <c r="O19" s="26">
        <f>IF(I19&lt;&gt;0,1,0)</f>
        <v>0</v>
      </c>
      <c r="P19" s="26">
        <f>IF(L19&lt;&gt;0,1,0)</f>
        <v>0</v>
      </c>
      <c r="Q19" s="66" t="b">
        <f>IF(SUM(O19:P19)&gt;1,TRUE)</f>
        <v>0</v>
      </c>
      <c r="R19" s="8"/>
      <c r="S19" s="27">
        <f>IF(I19=0,(F19*(1+L19)),F19+I19)</f>
        <v>0</v>
      </c>
      <c r="T19" s="27">
        <f>S19/(1+CopaymentGSTRate)</f>
        <v>0</v>
      </c>
      <c r="U19" s="67" t="str">
        <f>IF(G19=0,"n/a",(T19/G19-1))</f>
        <v>n/a</v>
      </c>
      <c r="V19" s="4"/>
      <c r="W19" s="27">
        <f>D19*E19*G19</f>
        <v>0</v>
      </c>
      <c r="X19" s="27">
        <f>D19*E19*T19</f>
        <v>0</v>
      </c>
      <c r="Y19" s="4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" customHeight="1" x14ac:dyDescent="0.2">
      <c r="A20" s="2"/>
      <c r="B20" s="4"/>
      <c r="C20" s="10"/>
      <c r="D20" s="57"/>
      <c r="E20" s="98"/>
      <c r="F20" s="58"/>
      <c r="G20" s="80"/>
      <c r="H20" s="13"/>
      <c r="I20" s="19"/>
      <c r="J20" s="17"/>
      <c r="K20" s="15"/>
      <c r="L20" s="18"/>
      <c r="M20" s="15"/>
      <c r="N20" s="15"/>
      <c r="O20" s="15"/>
      <c r="P20" s="15"/>
      <c r="Q20" s="63"/>
      <c r="R20" s="8"/>
      <c r="S20" s="14"/>
      <c r="T20" s="14"/>
      <c r="U20" s="16"/>
      <c r="V20" s="4"/>
      <c r="W20" s="68"/>
      <c r="X20" s="68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" customHeight="1" x14ac:dyDescent="0.2">
      <c r="A21" s="2"/>
      <c r="B21" s="4"/>
      <c r="C21" s="24" t="s">
        <v>22</v>
      </c>
      <c r="D21" s="55">
        <f>'Revenue Split'!C23</f>
        <v>0</v>
      </c>
      <c r="E21" s="97">
        <f>'Revenue Split'!D23</f>
        <v>2.09723121001177</v>
      </c>
      <c r="F21" s="56">
        <f>'Revenue Split'!H23</f>
        <v>0</v>
      </c>
      <c r="G21" s="56">
        <f>F21/(1+PreviousGSTRate)</f>
        <v>0</v>
      </c>
      <c r="H21" s="13"/>
      <c r="I21" s="64">
        <f>(J21-1000)/10</f>
        <v>0</v>
      </c>
      <c r="J21" s="65">
        <v>1000</v>
      </c>
      <c r="K21" s="29"/>
      <c r="L21" s="99">
        <f>(M21-1000)/1000</f>
        <v>0</v>
      </c>
      <c r="M21" s="65">
        <v>1000</v>
      </c>
      <c r="N21" s="25"/>
      <c r="O21" s="26">
        <f>IF(I21&lt;&gt;0,1,0)</f>
        <v>0</v>
      </c>
      <c r="P21" s="26">
        <f>IF(L21&lt;&gt;0,1,0)</f>
        <v>0</v>
      </c>
      <c r="Q21" s="66" t="b">
        <f>IF(SUM(O21:P21)&gt;1,TRUE)</f>
        <v>0</v>
      </c>
      <c r="R21" s="8"/>
      <c r="S21" s="27">
        <f>IF(I21=0,(F21*(1+L21)),F21+I21)</f>
        <v>0</v>
      </c>
      <c r="T21" s="27">
        <f>S21/(1+CopaymentGSTRate)</f>
        <v>0</v>
      </c>
      <c r="U21" s="67" t="str">
        <f>IF(G21=0,"n/a",(T21/G21-1))</f>
        <v>n/a</v>
      </c>
      <c r="V21" s="4"/>
      <c r="W21" s="27">
        <f>D21*E21*G21</f>
        <v>0</v>
      </c>
      <c r="X21" s="27">
        <f>D21*E21*T21</f>
        <v>0</v>
      </c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" customHeight="1" x14ac:dyDescent="0.2">
      <c r="A22" s="2"/>
      <c r="B22" s="4"/>
      <c r="C22" s="10"/>
      <c r="D22" s="57"/>
      <c r="E22" s="98"/>
      <c r="F22" s="58"/>
      <c r="G22" s="80"/>
      <c r="H22" s="13"/>
      <c r="I22" s="19"/>
      <c r="J22" s="17"/>
      <c r="K22" s="15"/>
      <c r="L22" s="18"/>
      <c r="M22" s="15"/>
      <c r="N22" s="15"/>
      <c r="O22" s="15"/>
      <c r="P22" s="15"/>
      <c r="Q22" s="63"/>
      <c r="R22" s="8"/>
      <c r="S22" s="14"/>
      <c r="T22" s="14"/>
      <c r="U22" s="16"/>
      <c r="V22" s="4"/>
      <c r="W22" s="68"/>
      <c r="X22" s="68"/>
      <c r="Y22" s="4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" customHeight="1" x14ac:dyDescent="0.2">
      <c r="A23" s="2"/>
      <c r="B23" s="4"/>
      <c r="C23" s="24" t="s">
        <v>23</v>
      </c>
      <c r="D23" s="55">
        <f>'Revenue Split'!C25</f>
        <v>0</v>
      </c>
      <c r="E23" s="97">
        <f>'Revenue Split'!D25</f>
        <v>2.4154392608709898</v>
      </c>
      <c r="F23" s="56">
        <f>'Revenue Split'!H25</f>
        <v>0</v>
      </c>
      <c r="G23" s="56">
        <f>F23/(1+PreviousGSTRate)</f>
        <v>0</v>
      </c>
      <c r="H23" s="13"/>
      <c r="I23" s="64">
        <f>(J23-1000)/10</f>
        <v>0</v>
      </c>
      <c r="J23" s="65">
        <v>1000</v>
      </c>
      <c r="K23" s="29"/>
      <c r="L23" s="99">
        <f>(M23-1000)/1000</f>
        <v>0</v>
      </c>
      <c r="M23" s="65">
        <v>1000</v>
      </c>
      <c r="N23" s="25"/>
      <c r="O23" s="26">
        <f>IF(I23&lt;&gt;0,1,0)</f>
        <v>0</v>
      </c>
      <c r="P23" s="26">
        <f>IF(L23&lt;&gt;0,1,0)</f>
        <v>0</v>
      </c>
      <c r="Q23" s="66" t="b">
        <f>IF(SUM(O23:P23)&gt;1,TRUE)</f>
        <v>0</v>
      </c>
      <c r="R23" s="8"/>
      <c r="S23" s="27">
        <f>IF(I23=0,(F23*(1+L23)),F23+I23)</f>
        <v>0</v>
      </c>
      <c r="T23" s="27">
        <f>S23/(1+CopaymentGSTRate)</f>
        <v>0</v>
      </c>
      <c r="U23" s="67" t="str">
        <f>IF(G23=0,"n/a",(T23/G23-1))</f>
        <v>n/a</v>
      </c>
      <c r="V23" s="4"/>
      <c r="W23" s="27">
        <f>D23*E23*G23</f>
        <v>0</v>
      </c>
      <c r="X23" s="27">
        <f>D23*E23*T23</f>
        <v>0</v>
      </c>
      <c r="Y23" s="4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" customHeight="1" x14ac:dyDescent="0.2">
      <c r="A24" s="2"/>
      <c r="B24" s="4"/>
      <c r="C24" s="10"/>
      <c r="D24" s="57"/>
      <c r="E24" s="98"/>
      <c r="F24" s="58"/>
      <c r="G24" s="80"/>
      <c r="H24" s="13"/>
      <c r="I24" s="19"/>
      <c r="J24" s="17"/>
      <c r="K24" s="15"/>
      <c r="L24" s="18"/>
      <c r="M24" s="15"/>
      <c r="N24" s="15"/>
      <c r="O24" s="15"/>
      <c r="P24" s="15"/>
      <c r="Q24" s="63"/>
      <c r="R24" s="8"/>
      <c r="S24" s="14"/>
      <c r="T24" s="14"/>
      <c r="U24" s="16"/>
      <c r="V24" s="4"/>
      <c r="W24" s="68"/>
      <c r="X24" s="68"/>
      <c r="Y24" s="4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" customHeight="1" x14ac:dyDescent="0.2">
      <c r="A25" s="2"/>
      <c r="B25" s="4"/>
      <c r="C25" s="24" t="s">
        <v>24</v>
      </c>
      <c r="D25" s="55">
        <f>'Revenue Split'!C27</f>
        <v>0</v>
      </c>
      <c r="E25" s="97">
        <f>'Revenue Split'!D27</f>
        <v>3.4813668846661998</v>
      </c>
      <c r="F25" s="56">
        <f>'Revenue Split'!H27</f>
        <v>0</v>
      </c>
      <c r="G25" s="56">
        <f>F25/(1+PreviousGSTRate)</f>
        <v>0</v>
      </c>
      <c r="H25" s="13"/>
      <c r="I25" s="64">
        <f>(J25-1000)/10</f>
        <v>0</v>
      </c>
      <c r="J25" s="65">
        <v>1000</v>
      </c>
      <c r="K25" s="29"/>
      <c r="L25" s="99">
        <f>(M25-1000)/1000</f>
        <v>0</v>
      </c>
      <c r="M25" s="65">
        <v>1000</v>
      </c>
      <c r="N25" s="25"/>
      <c r="O25" s="26">
        <f>IF(I25&lt;&gt;0,1,0)</f>
        <v>0</v>
      </c>
      <c r="P25" s="26">
        <f>IF(L25&lt;&gt;0,1,0)</f>
        <v>0</v>
      </c>
      <c r="Q25" s="66" t="b">
        <f>IF(SUM(O25:P25)&gt;1,TRUE)</f>
        <v>0</v>
      </c>
      <c r="R25" s="8"/>
      <c r="S25" s="27">
        <f>IF(I25=0,(F25*(1+L25)),F25+I25)</f>
        <v>0</v>
      </c>
      <c r="T25" s="27">
        <f>S25/(1+CopaymentGSTRate)</f>
        <v>0</v>
      </c>
      <c r="U25" s="67" t="str">
        <f>IF(G25=0,"n/a",(T25/G25-1))</f>
        <v>n/a</v>
      </c>
      <c r="V25" s="4"/>
      <c r="W25" s="27">
        <f>D25*E25*G25</f>
        <v>0</v>
      </c>
      <c r="X25" s="27">
        <f>D25*E25*T25</f>
        <v>0</v>
      </c>
      <c r="Y25" s="4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" customHeight="1" x14ac:dyDescent="0.2">
      <c r="A26" s="2"/>
      <c r="B26" s="4"/>
      <c r="C26" s="10"/>
      <c r="D26" s="57"/>
      <c r="E26" s="98"/>
      <c r="F26" s="58"/>
      <c r="G26" s="80"/>
      <c r="H26" s="13"/>
      <c r="I26" s="19"/>
      <c r="J26" s="17"/>
      <c r="K26" s="15"/>
      <c r="L26" s="18"/>
      <c r="M26" s="15"/>
      <c r="N26" s="15"/>
      <c r="O26" s="15"/>
      <c r="P26" s="15"/>
      <c r="Q26" s="63"/>
      <c r="R26" s="8"/>
      <c r="S26" s="14"/>
      <c r="T26" s="14"/>
      <c r="U26" s="16"/>
      <c r="V26" s="4"/>
      <c r="W26" s="68"/>
      <c r="X26" s="68"/>
      <c r="Y26" s="4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" customHeight="1" x14ac:dyDescent="0.2">
      <c r="A27" s="2"/>
      <c r="B27" s="4"/>
      <c r="C27" s="24" t="s">
        <v>25</v>
      </c>
      <c r="D27" s="55">
        <f>'Revenue Split'!C29</f>
        <v>0</v>
      </c>
      <c r="E27" s="97">
        <f>'Revenue Split'!D29</f>
        <v>5.5652075421566396</v>
      </c>
      <c r="F27" s="56">
        <f>'Revenue Split'!H29</f>
        <v>0</v>
      </c>
      <c r="G27" s="56">
        <f>F27/(1+PreviousGSTRate)</f>
        <v>0</v>
      </c>
      <c r="H27" s="13"/>
      <c r="I27" s="64">
        <f>(J27-1000)/10</f>
        <v>0</v>
      </c>
      <c r="J27" s="65">
        <v>1000</v>
      </c>
      <c r="K27" s="29"/>
      <c r="L27" s="99">
        <f>(M27-1000)/1000</f>
        <v>0</v>
      </c>
      <c r="M27" s="65">
        <v>1000</v>
      </c>
      <c r="N27" s="25"/>
      <c r="O27" s="26">
        <f>IF(I27&lt;&gt;0,1,0)</f>
        <v>0</v>
      </c>
      <c r="P27" s="26">
        <f>IF(L27&lt;&gt;0,1,0)</f>
        <v>0</v>
      </c>
      <c r="Q27" s="66" t="b">
        <f>IF(SUM(O27:P27)&gt;1,TRUE)</f>
        <v>0</v>
      </c>
      <c r="R27" s="8"/>
      <c r="S27" s="27">
        <f>IF(I27=0,(F27*(1+L27)),F27+I27)</f>
        <v>0</v>
      </c>
      <c r="T27" s="27">
        <f>S27/(1+CopaymentGSTRate)</f>
        <v>0</v>
      </c>
      <c r="U27" s="67" t="str">
        <f>IF(G27=0,"n/a",(T27/G27-1))</f>
        <v>n/a</v>
      </c>
      <c r="V27" s="4"/>
      <c r="W27" s="27">
        <f>D27*E27*G27</f>
        <v>0</v>
      </c>
      <c r="X27" s="27">
        <f>D27*E27*T27</f>
        <v>0</v>
      </c>
      <c r="Y27" s="4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" customHeight="1" x14ac:dyDescent="0.2">
      <c r="A28" s="2"/>
      <c r="B28" s="4"/>
      <c r="C28" s="10"/>
      <c r="D28" s="69"/>
      <c r="E28" s="69"/>
      <c r="F28" s="70"/>
      <c r="G28" s="70"/>
      <c r="H28" s="13"/>
      <c r="I28" s="211" t="str">
        <f>IF(OR(Q15,Q17,Q19,Q21,Q23,Q25,Q27),"You can change the co-payment by % OR $ but not both","")</f>
        <v/>
      </c>
      <c r="J28" s="211"/>
      <c r="K28" s="211"/>
      <c r="L28" s="211"/>
      <c r="M28" s="211"/>
      <c r="N28" s="211"/>
      <c r="O28" s="134"/>
      <c r="P28" s="134"/>
      <c r="Q28" s="134"/>
      <c r="R28" s="71"/>
      <c r="S28" s="120" t="str">
        <f>IF(OR(S15&lt;0,S17&lt;0,S19&lt;0,S21&lt;0,S23&lt;0,S25&lt;0,S27&lt;0),"Fees must be greater than zero","")</f>
        <v/>
      </c>
      <c r="T28" s="120"/>
      <c r="U28" s="121"/>
      <c r="V28" s="122"/>
      <c r="W28" s="123"/>
      <c r="X28" s="123"/>
      <c r="Y28" s="4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20.100000000000001" customHeight="1" x14ac:dyDescent="0.2">
      <c r="A29" s="2"/>
      <c r="B29" s="4"/>
      <c r="C29" s="10"/>
      <c r="D29" s="69"/>
      <c r="E29" s="69"/>
      <c r="F29" s="82"/>
      <c r="G29" s="4"/>
      <c r="H29" s="13"/>
      <c r="I29" s="212"/>
      <c r="J29" s="212"/>
      <c r="K29" s="212"/>
      <c r="L29" s="212"/>
      <c r="M29" s="212"/>
      <c r="N29" s="212"/>
      <c r="O29" s="134"/>
      <c r="P29" s="134"/>
      <c r="Q29" s="134"/>
      <c r="R29" s="72"/>
      <c r="S29" s="124"/>
      <c r="T29" s="124"/>
      <c r="U29" s="125"/>
      <c r="V29" s="122"/>
      <c r="W29" s="19" t="s">
        <v>77</v>
      </c>
      <c r="X29" s="19" t="s">
        <v>78</v>
      </c>
      <c r="Y29" s="4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0.100000000000001" customHeight="1" x14ac:dyDescent="0.2">
      <c r="A30" s="2"/>
      <c r="B30" s="73"/>
      <c r="C30" s="4"/>
      <c r="D30" s="4"/>
      <c r="E30" s="4"/>
      <c r="F30" s="82"/>
      <c r="G30" s="4"/>
      <c r="H30" s="4"/>
      <c r="I30" s="4"/>
      <c r="J30" s="19"/>
      <c r="K30" s="4"/>
      <c r="L30" s="4"/>
      <c r="M30" s="4"/>
      <c r="N30" s="4"/>
      <c r="O30" s="4"/>
      <c r="P30" s="4"/>
      <c r="Q30" s="4"/>
      <c r="R30" s="4"/>
      <c r="S30" s="137" t="s">
        <v>79</v>
      </c>
      <c r="T30" s="133"/>
      <c r="U30" s="135"/>
      <c r="V30" s="126"/>
      <c r="W30" s="145">
        <f>SUM(W15,W17,W19,W21,W23,W25,W27)</f>
        <v>0</v>
      </c>
      <c r="X30" s="145">
        <f>SUM(X15,X17,X19,X21,X23,X25,X27)</f>
        <v>0</v>
      </c>
      <c r="Y30" s="170" t="e">
        <f>X30/W30-1</f>
        <v>#DIV/0!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0.100000000000001" hidden="1" customHeight="1" x14ac:dyDescent="0.2">
      <c r="A31" s="2"/>
      <c r="B31" s="73"/>
      <c r="C31" s="4"/>
      <c r="D31" s="4"/>
      <c r="E31" s="4"/>
      <c r="F31" s="4"/>
      <c r="G31" s="4"/>
      <c r="H31" s="4"/>
      <c r="I31" s="4"/>
      <c r="J31" s="19"/>
      <c r="K31" s="4"/>
      <c r="L31" s="4"/>
      <c r="M31" s="4"/>
      <c r="N31" s="4"/>
      <c r="O31" s="4"/>
      <c r="P31" s="4"/>
      <c r="Q31" s="4"/>
      <c r="R31" s="4"/>
      <c r="S31" s="138"/>
      <c r="T31" s="136"/>
      <c r="U31" s="135"/>
      <c r="V31" s="126"/>
      <c r="W31" s="146">
        <f>SUM(W$19:W$27)+SUMIF($S$15:$S$17,"&gt;0",W$15:W$17)</f>
        <v>0</v>
      </c>
      <c r="X31" s="146">
        <f>SUM(X$19:X$27)+SUMIF($S$15:$S$17,"&gt;0",X$15:X$17)</f>
        <v>0</v>
      </c>
      <c r="Y31" s="73" t="e">
        <f>X31/W31-1</f>
        <v>#DIV/0!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0.100000000000001" customHeight="1" x14ac:dyDescent="0.25">
      <c r="A32" s="2"/>
      <c r="B32" s="34"/>
      <c r="C32" s="4"/>
      <c r="D32" s="4"/>
      <c r="E32" s="4"/>
      <c r="F32" s="4"/>
      <c r="G32" s="4"/>
      <c r="H32" s="4"/>
      <c r="I32" s="4"/>
      <c r="J32" s="7"/>
      <c r="K32" s="4"/>
      <c r="L32" s="4"/>
      <c r="M32" s="4"/>
      <c r="N32" s="4"/>
      <c r="O32" s="4"/>
      <c r="P32" s="4"/>
      <c r="Q32" s="4"/>
      <c r="R32" s="4"/>
      <c r="S32" s="137" t="s">
        <v>80</v>
      </c>
      <c r="T32" s="135"/>
      <c r="U32" s="135"/>
      <c r="V32" s="127"/>
      <c r="W32" s="147" t="str">
        <f>IF(W31=0,"n/a",(X31/W31-1))</f>
        <v>n/a</v>
      </c>
      <c r="X32" s="133"/>
      <c r="Y32" s="34"/>
      <c r="Z32" s="94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0.100000000000001" customHeight="1" x14ac:dyDescent="0.25">
      <c r="A33" s="2"/>
      <c r="B33" s="34"/>
      <c r="C33" s="4"/>
      <c r="D33" s="4"/>
      <c r="E33" s="4"/>
      <c r="F33" s="4"/>
      <c r="G33" s="4"/>
      <c r="H33" s="4"/>
      <c r="I33" s="4"/>
      <c r="J33" s="7"/>
      <c r="K33" s="4"/>
      <c r="L33" s="4"/>
      <c r="M33" s="4"/>
      <c r="N33" s="4"/>
      <c r="O33" s="4"/>
      <c r="P33" s="4"/>
      <c r="Q33" s="4"/>
      <c r="R33" s="7"/>
      <c r="S33" s="137" t="s">
        <v>81</v>
      </c>
      <c r="T33" s="135"/>
      <c r="U33" s="139" t="str">
        <f>'Annual Statement Summary'!D60</f>
        <v>2025/26</v>
      </c>
      <c r="V33" s="128"/>
      <c r="W33" s="148">
        <f>'Annual Statement Summary'!E60</f>
        <v>3.1699999999999992E-2</v>
      </c>
      <c r="X33" s="133"/>
      <c r="Y33" s="34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" customHeight="1" x14ac:dyDescent="0.2">
      <c r="A34" s="2"/>
      <c r="B34" s="3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94"/>
      <c r="T34" s="194"/>
      <c r="U34" s="194"/>
      <c r="V34" s="194"/>
      <c r="W34" s="195"/>
      <c r="X34" s="34"/>
      <c r="Y34" s="34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5.5" customHeight="1" x14ac:dyDescent="0.2">
      <c r="A35" s="2"/>
      <c r="B35" s="34"/>
      <c r="C35" s="5"/>
      <c r="D35" s="4"/>
      <c r="E35" s="74" t="s">
        <v>82</v>
      </c>
      <c r="F35" s="74"/>
      <c r="G35" s="74"/>
      <c r="H35" s="4"/>
      <c r="I35" s="207" t="str">
        <f>IF(AND(ISNUMBER(W32),W32&gt;W33),"Revenue % change exceeds co-payment annual statement","Revenue % change within co-payment annual statement")</f>
        <v>Revenue % change within co-payment annual statement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8"/>
      <c r="W35" s="208"/>
      <c r="X35" s="208"/>
      <c r="Y35" s="34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">
      <c r="A36" s="2"/>
      <c r="B36" s="34"/>
      <c r="C36" s="3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">
      <c r="A314" s="2"/>
      <c r="B314" s="2"/>
    </row>
    <row r="315" spans="1:35" x14ac:dyDescent="0.2">
      <c r="A315" s="2"/>
      <c r="B315" s="2"/>
    </row>
    <row r="316" spans="1:35" x14ac:dyDescent="0.2">
      <c r="A316" s="2"/>
      <c r="B316" s="2"/>
    </row>
    <row r="317" spans="1:35" x14ac:dyDescent="0.2">
      <c r="A317" s="2"/>
      <c r="B317" s="2"/>
    </row>
    <row r="318" spans="1:35" x14ac:dyDescent="0.2">
      <c r="A318" s="2"/>
      <c r="B318" s="2"/>
    </row>
    <row r="319" spans="1:35" x14ac:dyDescent="0.2">
      <c r="A319" s="2"/>
      <c r="B319" s="2"/>
    </row>
    <row r="320" spans="1:35" x14ac:dyDescent="0.2">
      <c r="A320" s="2"/>
      <c r="B320" s="2"/>
    </row>
    <row r="321" spans="1:2" x14ac:dyDescent="0.2">
      <c r="A321" s="2"/>
      <c r="B321" s="2"/>
    </row>
    <row r="322" spans="1:2" x14ac:dyDescent="0.2">
      <c r="A322" s="2"/>
      <c r="B322" s="2"/>
    </row>
    <row r="323" spans="1:2" x14ac:dyDescent="0.2">
      <c r="A323" s="2"/>
      <c r="B323" s="2"/>
    </row>
    <row r="324" spans="1:2" x14ac:dyDescent="0.2">
      <c r="A324" s="2"/>
      <c r="B324" s="2"/>
    </row>
    <row r="325" spans="1:2" x14ac:dyDescent="0.2">
      <c r="A325" s="2"/>
      <c r="B325" s="2"/>
    </row>
    <row r="326" spans="1:2" x14ac:dyDescent="0.2">
      <c r="A326" s="2"/>
      <c r="B326" s="2"/>
    </row>
    <row r="327" spans="1:2" x14ac:dyDescent="0.2">
      <c r="A327" s="2"/>
      <c r="B327" s="2"/>
    </row>
    <row r="328" spans="1:2" x14ac:dyDescent="0.2">
      <c r="A328" s="2"/>
      <c r="B328" s="2"/>
    </row>
    <row r="329" spans="1:2" x14ac:dyDescent="0.2">
      <c r="A329" s="2"/>
      <c r="B329" s="2"/>
    </row>
    <row r="330" spans="1:2" x14ac:dyDescent="0.2">
      <c r="A330" s="2"/>
      <c r="B330" s="2"/>
    </row>
    <row r="331" spans="1:2" x14ac:dyDescent="0.2">
      <c r="A331" s="2"/>
      <c r="B331" s="2"/>
    </row>
    <row r="332" spans="1:2" x14ac:dyDescent="0.2">
      <c r="A332" s="2"/>
      <c r="B332" s="2"/>
    </row>
    <row r="333" spans="1:2" x14ac:dyDescent="0.2">
      <c r="A333" s="2"/>
      <c r="B333" s="2"/>
    </row>
    <row r="334" spans="1:2" x14ac:dyDescent="0.2">
      <c r="A334" s="2"/>
      <c r="B334" s="2"/>
    </row>
    <row r="335" spans="1:2" x14ac:dyDescent="0.2">
      <c r="A335" s="2"/>
      <c r="B335" s="2"/>
    </row>
    <row r="336" spans="1:2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</sheetData>
  <sheetProtection algorithmName="SHA-512" hashValue="o6rdwoBzKH2p0BniPO1COuYB5FuVsYQ6HvnCiovXkTDCF8C+EY0Iq/HgOmOPCuNJKQTR/nkpaYhahrX9Wpb8Yw==" saltValue="4rOjUB5AfzP4ECP9JMKoFQ==" spinCount="100000" sheet="1" objects="1" scenarios="1"/>
  <mergeCells count="7">
    <mergeCell ref="I12:L12"/>
    <mergeCell ref="I13:K13"/>
    <mergeCell ref="L13:N13"/>
    <mergeCell ref="I35:X35"/>
    <mergeCell ref="S16:X16"/>
    <mergeCell ref="S14:X14"/>
    <mergeCell ref="I28:N29"/>
  </mergeCells>
  <phoneticPr fontId="0" type="noConversion"/>
  <conditionalFormatting sqref="Q15">
    <cfRule type="cellIs" dxfId="6" priority="2" stopIfTrue="1" operator="equal">
      <formula>TRUE</formula>
    </cfRule>
  </conditionalFormatting>
  <conditionalFormatting sqref="Q17 Q19 Q21 Q23 Q25 Q27">
    <cfRule type="cellIs" dxfId="5" priority="5" stopIfTrue="1" operator="equal">
      <formula>TRUE</formula>
    </cfRule>
  </conditionalFormatting>
  <conditionalFormatting sqref="R28:R29 U28:U29">
    <cfRule type="cellIs" dxfId="4" priority="6" stopIfTrue="1" operator="equal">
      <formula>"You can change the co-payment by % OR $ but not both"</formula>
    </cfRule>
  </conditionalFormatting>
  <conditionalFormatting sqref="S15:T15">
    <cfRule type="cellIs" dxfId="3" priority="3" stopIfTrue="1" operator="lessThan">
      <formula>0</formula>
    </cfRule>
  </conditionalFormatting>
  <conditionalFormatting sqref="S17:T17 S19:T19 S21:T21 S23:T23 S25:T25 S27:T27">
    <cfRule type="cellIs" dxfId="2" priority="7" stopIfTrue="1" operator="lessThan">
      <formula>0</formula>
    </cfRule>
  </conditionalFormatting>
  <conditionalFormatting sqref="X15">
    <cfRule type="cellIs" dxfId="1" priority="1" stopIfTrue="1" operator="notEqual">
      <formula>W15</formula>
    </cfRule>
  </conditionalFormatting>
  <conditionalFormatting sqref="X17 X19 X21 X23 X25 X27 X30">
    <cfRule type="cellIs" dxfId="0" priority="4" stopIfTrue="1" operator="notEqual">
      <formula>W17</formula>
    </cfRule>
  </conditionalFormatting>
  <pageMargins left="0.25" right="0.25" top="0.75" bottom="0.75" header="0.3" footer="0.3"/>
  <pageSetup paperSize="9" scale="58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Spinner 4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Spinner 6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Spinner 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inner 8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Spinner 9">
              <controlPr defaultSize="0" autoPict="0">
                <anchor moveWithCells="1" siz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Spinner 10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Spinner 11">
              <controlPr defaultSize="0" autoPict="0">
                <anchor moveWithCells="1" siz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Spinner 12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Spinner 23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Spinner 24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771C-BA7C-495A-8BD9-F3963BC6C8A8}">
  <dimension ref="A1:Q19"/>
  <sheetViews>
    <sheetView workbookViewId="0">
      <selection activeCell="H46" sqref="H46"/>
    </sheetView>
  </sheetViews>
  <sheetFormatPr defaultColWidth="9.140625" defaultRowHeight="15" x14ac:dyDescent="0.25"/>
  <cols>
    <col min="1" max="1" width="15.7109375" style="158" bestFit="1" customWidth="1"/>
    <col min="2" max="2" width="9.140625" style="158"/>
    <col min="3" max="4" width="13.85546875" style="158" customWidth="1"/>
    <col min="5" max="16384" width="9.140625" style="158"/>
  </cols>
  <sheetData>
    <row r="1" spans="1:17" x14ac:dyDescent="0.25">
      <c r="A1" s="161"/>
    </row>
    <row r="3" spans="1:17" x14ac:dyDescent="0.25">
      <c r="A3" s="159" t="s">
        <v>83</v>
      </c>
      <c r="B3" t="s">
        <v>84</v>
      </c>
      <c r="C3" s="160" t="s">
        <v>85</v>
      </c>
    </row>
    <row r="4" spans="1:17" x14ac:dyDescent="0.25">
      <c r="A4"/>
      <c r="B4" t="s">
        <v>86</v>
      </c>
      <c r="C4" s="190">
        <v>2.8681228879651899</v>
      </c>
      <c r="H4" t="s">
        <v>96</v>
      </c>
      <c r="I4"/>
      <c r="J4" t="s">
        <v>97</v>
      </c>
      <c r="K4"/>
      <c r="L4"/>
      <c r="M4"/>
      <c r="N4" t="s">
        <v>98</v>
      </c>
      <c r="O4"/>
    </row>
    <row r="5" spans="1:17" x14ac:dyDescent="0.25">
      <c r="A5"/>
      <c r="B5" t="s">
        <v>87</v>
      </c>
      <c r="C5" s="190">
        <v>1.5988406954215999</v>
      </c>
      <c r="H5" s="191" t="s">
        <v>99</v>
      </c>
      <c r="I5" s="188"/>
      <c r="J5" s="188" t="s">
        <v>100</v>
      </c>
      <c r="K5" s="189"/>
      <c r="L5" s="189"/>
      <c r="M5" s="189"/>
      <c r="N5" s="189">
        <v>488.56180000000001</v>
      </c>
      <c r="O5" s="189"/>
      <c r="Q5" s="158" t="s">
        <v>120</v>
      </c>
    </row>
    <row r="6" spans="1:17" x14ac:dyDescent="0.25">
      <c r="A6"/>
      <c r="B6" t="s">
        <v>88</v>
      </c>
      <c r="C6" s="190">
        <v>1.5816458570429599</v>
      </c>
      <c r="H6" s="191" t="s">
        <v>111</v>
      </c>
      <c r="I6" s="188"/>
      <c r="J6" s="188" t="s">
        <v>101</v>
      </c>
      <c r="K6" s="189"/>
      <c r="L6" s="189"/>
      <c r="M6" s="189"/>
      <c r="N6" s="189">
        <v>136.97829999999999</v>
      </c>
      <c r="O6" s="189"/>
      <c r="Q6" s="158" t="s">
        <v>119</v>
      </c>
    </row>
    <row r="7" spans="1:17" x14ac:dyDescent="0.25">
      <c r="A7"/>
      <c r="B7" t="s">
        <v>89</v>
      </c>
      <c r="C7" s="190">
        <v>2.09723121001177</v>
      </c>
      <c r="H7" s="191" t="s">
        <v>102</v>
      </c>
      <c r="I7" s="188"/>
      <c r="J7" s="188" t="s">
        <v>103</v>
      </c>
      <c r="K7" s="189"/>
      <c r="L7" s="189"/>
      <c r="M7" s="189"/>
      <c r="N7" s="189">
        <v>128.85120000000001</v>
      </c>
      <c r="O7" s="189"/>
    </row>
    <row r="8" spans="1:17" x14ac:dyDescent="0.25">
      <c r="A8"/>
      <c r="B8" t="s">
        <v>90</v>
      </c>
      <c r="C8" s="190">
        <v>2.4154392608709898</v>
      </c>
      <c r="H8" s="191" t="s">
        <v>104</v>
      </c>
      <c r="I8" s="188"/>
      <c r="J8" s="188" t="s">
        <v>105</v>
      </c>
      <c r="K8" s="189"/>
      <c r="L8" s="189"/>
      <c r="M8" s="189"/>
      <c r="N8" s="189">
        <v>127.6044</v>
      </c>
      <c r="O8" s="189"/>
    </row>
    <row r="9" spans="1:17" x14ac:dyDescent="0.25">
      <c r="A9"/>
      <c r="B9" t="s">
        <v>91</v>
      </c>
      <c r="C9" s="190">
        <v>3.4813668846661998</v>
      </c>
      <c r="H9" s="191" t="s">
        <v>106</v>
      </c>
      <c r="I9" s="188"/>
      <c r="J9" s="188" t="s">
        <v>107</v>
      </c>
      <c r="K9" s="189"/>
      <c r="L9" s="189"/>
      <c r="M9" s="189"/>
      <c r="N9" s="189">
        <v>119.4933</v>
      </c>
      <c r="O9" s="189"/>
    </row>
    <row r="10" spans="1:17" x14ac:dyDescent="0.25">
      <c r="A10"/>
      <c r="B10" t="s">
        <v>92</v>
      </c>
      <c r="C10" s="190">
        <v>5.5652075421566396</v>
      </c>
      <c r="H10" s="191" t="s">
        <v>108</v>
      </c>
      <c r="I10" s="188"/>
      <c r="J10" s="188" t="s">
        <v>109</v>
      </c>
      <c r="K10" s="189"/>
      <c r="L10" s="189"/>
      <c r="M10" s="189"/>
      <c r="N10" s="189">
        <v>173.1027</v>
      </c>
      <c r="O10" s="189"/>
    </row>
    <row r="11" spans="1:17" x14ac:dyDescent="0.25">
      <c r="A11"/>
      <c r="B11"/>
      <c r="C11"/>
      <c r="H11" s="191" t="s">
        <v>92</v>
      </c>
      <c r="I11" s="188"/>
      <c r="J11" s="188" t="s">
        <v>110</v>
      </c>
      <c r="K11" s="189"/>
      <c r="L11" s="189"/>
      <c r="M11" s="189"/>
      <c r="N11" s="189">
        <v>318.3546</v>
      </c>
      <c r="O11" s="189"/>
    </row>
    <row r="12" spans="1:17" x14ac:dyDescent="0.25">
      <c r="A12" s="159" t="s">
        <v>93</v>
      </c>
      <c r="B12" t="s">
        <v>84</v>
      </c>
      <c r="C12" s="160" t="s">
        <v>94</v>
      </c>
    </row>
    <row r="13" spans="1:17" x14ac:dyDescent="0.25">
      <c r="A13"/>
      <c r="B13" t="s">
        <v>86</v>
      </c>
      <c r="C13" s="189">
        <v>488.56180000000001</v>
      </c>
    </row>
    <row r="14" spans="1:17" x14ac:dyDescent="0.25">
      <c r="A14"/>
      <c r="B14" t="s">
        <v>87</v>
      </c>
      <c r="C14" s="189">
        <v>136.97829999999999</v>
      </c>
    </row>
    <row r="15" spans="1:17" x14ac:dyDescent="0.25">
      <c r="A15"/>
      <c r="B15" t="s">
        <v>88</v>
      </c>
      <c r="C15" s="189">
        <v>128.85120000000001</v>
      </c>
    </row>
    <row r="16" spans="1:17" x14ac:dyDescent="0.25">
      <c r="A16"/>
      <c r="B16" t="s">
        <v>89</v>
      </c>
      <c r="C16" s="189">
        <v>127.6044</v>
      </c>
    </row>
    <row r="17" spans="1:3" x14ac:dyDescent="0.25">
      <c r="A17"/>
      <c r="B17" t="s">
        <v>90</v>
      </c>
      <c r="C17" s="189">
        <v>119.4933</v>
      </c>
    </row>
    <row r="18" spans="1:3" x14ac:dyDescent="0.25">
      <c r="A18"/>
      <c r="B18" t="s">
        <v>91</v>
      </c>
      <c r="C18" s="189">
        <v>173.1027</v>
      </c>
    </row>
    <row r="19" spans="1:3" x14ac:dyDescent="0.25">
      <c r="A19"/>
      <c r="B19" t="s">
        <v>92</v>
      </c>
      <c r="C19" s="189">
        <v>318.3546</v>
      </c>
    </row>
  </sheetData>
  <sheetProtection algorithmName="SHA-512" hashValue="Pgme5r5LXwbL8xPmdW1SnnHZ+89+D4Xq8/QWeF0iIIygeJe7IV28CBZtfCuRR6WQcHJwODA0CNiI0G2Tdom8+g==" saltValue="lzFnYK88wet4FnGgfdlnAQ==" spinCount="100000" sheet="1" objects="1" scenarios="1"/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1000212-257970976-149699</_dlc_DocId>
    <_dlc_DocIdUrl xmlns="1648de66-f3f9-4d4b-aae7-60266db04554">
      <Url>https://hauoraaotearoa.sharepoint.com/sites/1000212/_layouts/15/DocIdRedir.aspx?ID=1000212-257970976-149699</Url>
      <Description>1000212-257970976-149699</Description>
    </_dlc_DocIdUrl>
    <HNZReviewDate xmlns="9253c88c-d550-4ff1-afdc-d5dc691f60b0" xsi:nil="true"/>
    <HNZOwner xmlns="9dedc558-d7f9-46f1-9dee-6f5209f06743">
      <UserInfo>
        <DisplayName/>
        <AccountId xsi:nil="true"/>
        <AccountType/>
      </UserInfo>
    </HNZOwner>
    <p777f0da518742b188a1f7fd5ee91810 xmlns="9dedc558-d7f9-46f1-9dee-6f5209f06743" xsi:nil="true"/>
    <f3e7f0a218d8438586e2a8545792c0ef xmlns="9dedc558-d7f9-46f1-9dee-6f5209f06743">
      <Terms xmlns="http://schemas.microsoft.com/office/infopath/2007/PartnerControls"/>
    </f3e7f0a218d8438586e2a8545792c0e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F07CB8300901DB4BBEA843C2D6252A34" ma:contentTypeVersion="3" ma:contentTypeDescription="" ma:contentTypeScope="" ma:versionID="b5aa4ced827c43cf26aa0a1a75ecd942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9dedc558-d7f9-46f1-9dee-6f5209f06743" xmlns:ns4="1648de66-f3f9-4d4b-aae7-60266db04554" targetNamespace="http://schemas.microsoft.com/office/2006/metadata/properties" ma:root="true" ma:fieldsID="f6fd6d8e7b2e94964a9cd793d9d6076a" ns1:_="" ns2:_="" ns3:_="" ns4:_="">
    <xsd:import namespace="http://schemas.microsoft.com/sharepoint/v3"/>
    <xsd:import namespace="9253c88c-d550-4ff1-afdc-d5dc691f60b0"/>
    <xsd:import namespace="9dedc558-d7f9-46f1-9dee-6f5209f06743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a78049df-7aa4-4361-920b-e4ffe923ac11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dc558-d7f9-46f1-9dee-6f5209f06743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a78049df-7aa4-4361-920b-e4ffe923ac11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ebf29b3f-1e51-457b-ae0c-362182e58074" ContentTypeId="0x010100D5C1E13D20A8554992C24F7EE470E02302" PreviousValue="false" LastSyncTimeStamp="2024-06-19T04:24:22.923Z"/>
</file>

<file path=customXml/itemProps1.xml><?xml version="1.0" encoding="utf-8"?>
<ds:datastoreItem xmlns:ds="http://schemas.openxmlformats.org/officeDocument/2006/customXml" ds:itemID="{88162AC9-9677-4D92-ACD2-98E26F1B95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0E844-DD12-4D17-A424-D04866847712}">
  <ds:schemaRefs>
    <ds:schemaRef ds:uri="http://www.w3.org/XML/1998/namespace"/>
    <ds:schemaRef ds:uri="http://purl.org/dc/terms/"/>
    <ds:schemaRef ds:uri="http://purl.org/dc/elements/1.1/"/>
    <ds:schemaRef ds:uri="d35a426c-3b89-4c3b-b76d-9c1027aee34c"/>
    <ds:schemaRef ds:uri="9253c88c-d550-4ff1-afdc-d5dc691f60b0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1648de66-f3f9-4d4b-aae7-60266db0455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7285B0-E5EC-468E-8F9D-33706820D88D}"/>
</file>

<file path=customXml/itemProps4.xml><?xml version="1.0" encoding="utf-8"?>
<ds:datastoreItem xmlns:ds="http://schemas.openxmlformats.org/officeDocument/2006/customXml" ds:itemID="{9FD446B9-BF87-4C4A-B382-AC6F59C8D1E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1FF14C2-92EF-4636-832C-46DB8AF53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Revenue Split</vt:lpstr>
      <vt:lpstr>Annual Statement Summary</vt:lpstr>
      <vt:lpstr>Co-payment Template</vt:lpstr>
      <vt:lpstr>Parameters</vt:lpstr>
      <vt:lpstr>CopaymentGSTRate</vt:lpstr>
      <vt:lpstr>DefaultCapitationContribution</vt:lpstr>
      <vt:lpstr>DefaultCopaymentContribution</vt:lpstr>
      <vt:lpstr>PracticeType</vt:lpstr>
      <vt:lpstr>PreviousGSTRate</vt:lpstr>
      <vt:lpstr>'Annual Statement Summary'!Print_Area</vt:lpstr>
      <vt:lpstr>'Co-payment Template'!Print_Area</vt:lpstr>
      <vt:lpstr>'Revenue Split'!Print_Area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2025-06-30T03:12:04Z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0x010100D5C1E13D20A8554992C24F7EE470E0230200F07CB8300901DB4BBEA843C2D6252A34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2022-06-14T23:47:39Z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e50b7444-e2d9-44ba-a2d4-533f21c65845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449988e1-d5ae-41df-9159-55a126ed7937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LifeCourse">
    <vt:lpwstr/>
  </property>
  <property fmtid="{D5CDD505-2E9C-101B-9397-08002B2CF9AE}" pid="31" name="HNZWorkProgramm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